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autoCompressPictures="0"/>
  <workbookProtection workbookAlgorithmName="SHA-512" workbookHashValue="FDm0YVlRHuvuR7ASQJ7z4n/c8bI9AuIKyHf8ujFWtWUkp7+Xm6/f03FyvVRZ4GAgW7GEWKWltQSnVHknWKh2BA==" workbookSaltValue="EX+GsGCD48ANiKbfOQgmtw==" workbookSpinCount="100000" lockStructure="1"/>
  <bookViews>
    <workbookView xWindow="28680" yWindow="-120" windowWidth="21840" windowHeight="13740" tabRatio="789" activeTab="5"/>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4525"/>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B17" i="5" l="1"/>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C585" i="5"/>
  <c r="B585" i="5"/>
  <c r="S585" i="5" s="1"/>
  <c r="C584" i="5"/>
  <c r="V584" i="5" s="1"/>
  <c r="B584" i="5"/>
  <c r="C583" i="5"/>
  <c r="B583" i="5"/>
  <c r="T583" i="5" s="1"/>
  <c r="C582" i="5"/>
  <c r="V582" i="5" s="1"/>
  <c r="B582" i="5"/>
  <c r="C581" i="5"/>
  <c r="B581" i="5"/>
  <c r="C580" i="5"/>
  <c r="B580" i="5"/>
  <c r="C579" i="5"/>
  <c r="B579" i="5"/>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C552" i="5"/>
  <c r="V552" i="5" s="1"/>
  <c r="B552" i="5"/>
  <c r="AB552" i="5" s="1"/>
  <c r="C551" i="5"/>
  <c r="V551" i="5" s="1"/>
  <c r="B551"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B481" i="5"/>
  <c r="T481" i="5" s="1"/>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C453" i="5"/>
  <c r="V453" i="5" s="1"/>
  <c r="B453" i="5"/>
  <c r="T453" i="5" s="1"/>
  <c r="C452" i="5"/>
  <c r="V452" i="5" s="1"/>
  <c r="B452" i="5"/>
  <c r="C451" i="5"/>
  <c r="V451" i="5" s="1"/>
  <c r="B451" i="5"/>
  <c r="S451" i="5" s="1"/>
  <c r="C450" i="5"/>
  <c r="B450" i="5"/>
  <c r="T450" i="5" s="1"/>
  <c r="C449" i="5"/>
  <c r="V449" i="5" s="1"/>
  <c r="B449" i="5"/>
  <c r="T449" i="5" s="1"/>
  <c r="C448" i="5"/>
  <c r="V448" i="5" s="1"/>
  <c r="B448" i="5"/>
  <c r="C447" i="5"/>
  <c r="B447" i="5"/>
  <c r="T447" i="5" s="1"/>
  <c r="C446" i="5"/>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C414" i="5"/>
  <c r="B414" i="5"/>
  <c r="T414" i="5" s="1"/>
  <c r="C413" i="5"/>
  <c r="V413" i="5" s="1"/>
  <c r="F413" i="5" s="1"/>
  <c r="B413" i="5"/>
  <c r="T413" i="5" s="1"/>
  <c r="C412" i="5"/>
  <c r="V412" i="5" s="1"/>
  <c r="F412" i="5" s="1"/>
  <c r="B412" i="5"/>
  <c r="C411" i="5"/>
  <c r="B411" i="5"/>
  <c r="T411" i="5" s="1"/>
  <c r="C410" i="5"/>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C390" i="5"/>
  <c r="B390" i="5"/>
  <c r="C389" i="5"/>
  <c r="V389" i="5" s="1"/>
  <c r="B389" i="5"/>
  <c r="T389" i="5" s="1"/>
  <c r="C388" i="5"/>
  <c r="V388" i="5" s="1"/>
  <c r="B388" i="5"/>
  <c r="C387" i="5"/>
  <c r="V387" i="5" s="1"/>
  <c r="I387" i="5" s="1"/>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C364" i="5"/>
  <c r="V364" i="5" s="1"/>
  <c r="I364" i="5" s="1"/>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C231" i="5"/>
  <c r="V231" i="5" s="1"/>
  <c r="H231" i="5" s="1"/>
  <c r="B231" i="5"/>
  <c r="C230" i="5"/>
  <c r="V230" i="5" s="1"/>
  <c r="B230" i="5"/>
  <c r="S230" i="5" s="1"/>
  <c r="C229" i="5"/>
  <c r="V229" i="5" s="1"/>
  <c r="B229" i="5"/>
  <c r="C228" i="5"/>
  <c r="B228" i="5"/>
  <c r="C227" i="5"/>
  <c r="V227" i="5" s="1"/>
  <c r="B227" i="5"/>
  <c r="C226" i="5"/>
  <c r="V226" i="5" s="1"/>
  <c r="B226" i="5"/>
  <c r="T226" i="5" s="1"/>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C37" i="5"/>
  <c r="V37" i="5" s="1"/>
  <c r="R37" i="5" s="1"/>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C22" i="5"/>
  <c r="V22" i="5" s="1"/>
  <c r="I22" i="5" s="1"/>
  <c r="B22" i="5"/>
  <c r="S22" i="5" s="1"/>
  <c r="C21" i="5"/>
  <c r="V21" i="5" s="1"/>
  <c r="B21" i="5"/>
  <c r="V20" i="5"/>
  <c r="R20" i="5" s="1"/>
  <c r="B20" i="5"/>
  <c r="T20" i="5" s="1"/>
  <c r="C19" i="5"/>
  <c r="V19" i="5" s="1"/>
  <c r="B19" i="5"/>
  <c r="T19" i="5" s="1"/>
  <c r="AB18" i="5"/>
  <c r="V18" i="5"/>
  <c r="I18"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R528" i="5" l="1"/>
  <c r="Q4" i="5"/>
  <c r="AB324" i="5"/>
  <c r="AB481" i="5"/>
  <c r="AB1566" i="5"/>
  <c r="AB1624" i="5"/>
  <c r="AB1814" i="5"/>
  <c r="AB2073" i="5"/>
  <c r="AB1140" i="5"/>
  <c r="AB410" i="5"/>
  <c r="AB488" i="5"/>
  <c r="AB579" i="5"/>
  <c r="AB1293" i="5"/>
  <c r="E1479" i="5"/>
  <c r="X1479" i="5" s="1"/>
  <c r="AB1691" i="5"/>
  <c r="AB1731" i="5"/>
  <c r="S120" i="5"/>
  <c r="T250" i="5"/>
  <c r="S414" i="5"/>
  <c r="S515" i="5"/>
  <c r="G550" i="5"/>
  <c r="T585" i="5"/>
  <c r="AB643" i="5"/>
  <c r="T684" i="5"/>
  <c r="T788" i="5"/>
  <c r="S858" i="5"/>
  <c r="S918" i="5"/>
  <c r="S1000" i="5"/>
  <c r="T1098" i="5"/>
  <c r="T1244" i="5"/>
  <c r="AB1353" i="5"/>
  <c r="S1398" i="5"/>
  <c r="T1519" i="5"/>
  <c r="AB1594" i="5"/>
  <c r="AB1672" i="5"/>
  <c r="T1684" i="5"/>
  <c r="S1754" i="5"/>
  <c r="S1770" i="5"/>
  <c r="T1781" i="5"/>
  <c r="T2060" i="5"/>
  <c r="AB2069" i="5"/>
  <c r="S2140" i="5"/>
  <c r="T2188" i="5"/>
  <c r="T2248" i="5"/>
  <c r="T2317" i="5"/>
  <c r="AB2413" i="5"/>
  <c r="T76" i="5"/>
  <c r="T190" i="5"/>
  <c r="T391" i="5"/>
  <c r="AB446" i="5"/>
  <c r="AB450" i="5"/>
  <c r="R480" i="5"/>
  <c r="T645" i="5"/>
  <c r="AB674" i="5"/>
  <c r="G681" i="5"/>
  <c r="AB720" i="5"/>
  <c r="S778" i="5"/>
  <c r="AB841" i="5"/>
  <c r="S853" i="5"/>
  <c r="AB858" i="5"/>
  <c r="S903" i="5"/>
  <c r="AB1022" i="5"/>
  <c r="T1078" i="5"/>
  <c r="T1407" i="5"/>
  <c r="T1435" i="5"/>
  <c r="AB1437" i="5"/>
  <c r="AB1463" i="5"/>
  <c r="S1465" i="5"/>
  <c r="S1477" i="5"/>
  <c r="S1596" i="5"/>
  <c r="T1624" i="5"/>
  <c r="T1675" i="5"/>
  <c r="S1748" i="5"/>
  <c r="AB1757" i="5"/>
  <c r="T1814" i="5"/>
  <c r="T1883" i="5"/>
  <c r="S2015" i="5"/>
  <c r="S2038" i="5"/>
  <c r="S2068" i="5"/>
  <c r="AB2088" i="5"/>
  <c r="T2133" i="5"/>
  <c r="T2163" i="5"/>
  <c r="AB2402" i="5"/>
  <c r="S2428" i="5"/>
  <c r="T44" i="5"/>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S1896" i="5"/>
  <c r="S1904" i="5"/>
  <c r="S1943" i="5"/>
  <c r="V2003" i="5"/>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S1700" i="5"/>
  <c r="S1716" i="5"/>
  <c r="T1761" i="5"/>
  <c r="S1794" i="5"/>
  <c r="T1797" i="5"/>
  <c r="S1843" i="5"/>
  <c r="AB1941" i="5"/>
  <c r="V1947" i="5"/>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H574" i="5" s="1"/>
  <c r="T641" i="5"/>
  <c r="S641" i="5"/>
  <c r="S26" i="5"/>
  <c r="R59" i="5"/>
  <c r="G63" i="5"/>
  <c r="H111" i="5"/>
  <c r="R111" i="5"/>
  <c r="H171" i="5"/>
  <c r="R171" i="5"/>
  <c r="J171" i="5"/>
  <c r="G171" i="5"/>
  <c r="V194" i="5"/>
  <c r="I194" i="5" s="1"/>
  <c r="S245" i="5"/>
  <c r="T245" i="5"/>
  <c r="V314" i="5"/>
  <c r="T351" i="5"/>
  <c r="S351" i="5"/>
  <c r="T454" i="5"/>
  <c r="S454" i="5"/>
  <c r="E468" i="5"/>
  <c r="X468" i="5" s="1"/>
  <c r="F468" i="5"/>
  <c r="T483" i="5"/>
  <c r="S483" i="5"/>
  <c r="V562" i="5"/>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F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F982" i="5" s="1"/>
  <c r="AB982" i="5"/>
  <c r="F986" i="5"/>
  <c r="H986" i="5"/>
  <c r="T1026" i="5"/>
  <c r="AB1026" i="5"/>
  <c r="S1026" i="5"/>
  <c r="V1086" i="5"/>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16" i="5"/>
  <c r="AB696" i="5"/>
  <c r="V696" i="5"/>
  <c r="R696" i="5" s="1"/>
  <c r="T713" i="5"/>
  <c r="S713" i="5"/>
  <c r="T745" i="5"/>
  <c r="S745" i="5"/>
  <c r="V808" i="5"/>
  <c r="AB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R836" i="5" s="1"/>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I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F676" i="5"/>
  <c r="V678" i="5"/>
  <c r="R678" i="5" s="1"/>
  <c r="S686" i="5"/>
  <c r="S694" i="5"/>
  <c r="E700" i="5"/>
  <c r="X700" i="5" s="1"/>
  <c r="S702" i="5"/>
  <c r="G705" i="5"/>
  <c r="H707" i="5"/>
  <c r="V720" i="5"/>
  <c r="G725" i="5"/>
  <c r="V730" i="5"/>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AB1352" i="5"/>
  <c r="V1352" i="5"/>
  <c r="R1352" i="5" s="1"/>
  <c r="J1369" i="5"/>
  <c r="R1369" i="5"/>
  <c r="H1369" i="5"/>
  <c r="G1369" i="5"/>
  <c r="AB1385" i="5"/>
  <c r="V1385" i="5"/>
  <c r="R1506" i="5"/>
  <c r="F1506" i="5"/>
  <c r="AB835" i="5"/>
  <c r="S889" i="5"/>
  <c r="AB986" i="5"/>
  <c r="AB1034" i="5"/>
  <c r="T1034" i="5"/>
  <c r="V1051" i="5"/>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AB1333" i="5"/>
  <c r="F1344" i="5"/>
  <c r="AB1373" i="5"/>
  <c r="T1451" i="5"/>
  <c r="S1451" i="5"/>
  <c r="R1454" i="5"/>
  <c r="I1511" i="5"/>
  <c r="E1511" i="5"/>
  <c r="X1511" i="5" s="1"/>
  <c r="T1531" i="5"/>
  <c r="AB1539" i="5"/>
  <c r="S1556" i="5"/>
  <c r="T1556" i="5"/>
  <c r="AB1561" i="5"/>
  <c r="T1608" i="5"/>
  <c r="S1608" i="5"/>
  <c r="V1633" i="5"/>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G1685" i="5"/>
  <c r="G1709" i="5"/>
  <c r="F1753" i="5"/>
  <c r="S1778" i="5"/>
  <c r="AB1787" i="5"/>
  <c r="AB1822" i="5"/>
  <c r="I1836" i="5"/>
  <c r="V1851" i="5"/>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H261" i="5" s="1"/>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I400" i="5"/>
  <c r="I405" i="5"/>
  <c r="R405" i="5"/>
  <c r="J405" i="5"/>
  <c r="H405" i="5"/>
  <c r="R409" i="5"/>
  <c r="E412" i="5"/>
  <c r="X412" i="5" s="1"/>
  <c r="R412" i="5"/>
  <c r="I412" i="5"/>
  <c r="H412" i="5"/>
  <c r="E416" i="5"/>
  <c r="X416" i="5" s="1"/>
  <c r="I416" i="5"/>
  <c r="H416" i="5"/>
  <c r="F416" i="5"/>
  <c r="V419" i="5"/>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11" i="5"/>
  <c r="AB134" i="5"/>
  <c r="F137" i="5"/>
  <c r="T138" i="5"/>
  <c r="F141" i="5"/>
  <c r="AB142" i="5"/>
  <c r="E145" i="5"/>
  <c r="X145" i="5" s="1"/>
  <c r="T154" i="5"/>
  <c r="T158" i="5"/>
  <c r="E161" i="5"/>
  <c r="X161" i="5" s="1"/>
  <c r="F167"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J443" i="5" s="1"/>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H110" i="5"/>
  <c r="I111" i="5"/>
  <c r="T114" i="5"/>
  <c r="J115" i="5"/>
  <c r="R145" i="5"/>
  <c r="E147" i="5"/>
  <c r="X147" i="5" s="1"/>
  <c r="G153" i="5"/>
  <c r="AB162" i="5"/>
  <c r="R165" i="5"/>
  <c r="I167"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J415" i="5" s="1"/>
  <c r="AB417" i="5"/>
  <c r="V423" i="5"/>
  <c r="H423" i="5" s="1"/>
  <c r="AB425" i="5"/>
  <c r="V431" i="5"/>
  <c r="G431" i="5" s="1"/>
  <c r="AB433" i="5"/>
  <c r="V439" i="5"/>
  <c r="G439" i="5" s="1"/>
  <c r="AB441" i="5"/>
  <c r="V447" i="5"/>
  <c r="H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V576" i="5"/>
  <c r="E584" i="5"/>
  <c r="X584" i="5" s="1"/>
  <c r="J584" i="5"/>
  <c r="R586" i="5"/>
  <c r="V588" i="5"/>
  <c r="G588" i="5" s="1"/>
  <c r="V596" i="5"/>
  <c r="I596" i="5" s="1"/>
  <c r="AB599" i="5"/>
  <c r="F618" i="5"/>
  <c r="E636" i="5"/>
  <c r="X636" i="5" s="1"/>
  <c r="F636" i="5"/>
  <c r="R636" i="5"/>
  <c r="J636" i="5"/>
  <c r="V648" i="5"/>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47" i="5"/>
  <c r="S1048" i="5"/>
  <c r="T1050" i="5"/>
  <c r="S1055" i="5"/>
  <c r="S1060" i="5"/>
  <c r="AB1062" i="5"/>
  <c r="S1066"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J1257" i="5"/>
  <c r="I1257" i="5"/>
  <c r="F1257" i="5"/>
  <c r="V1260" i="5"/>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E1225" i="5"/>
  <c r="X1225" i="5" s="1"/>
  <c r="AB1234" i="5"/>
  <c r="T1246" i="5"/>
  <c r="S1246" i="5"/>
  <c r="T1254" i="5"/>
  <c r="S1254" i="5"/>
  <c r="S1268" i="5"/>
  <c r="T1285" i="5"/>
  <c r="T1288" i="5"/>
  <c r="S1288" i="5"/>
  <c r="T1290" i="5"/>
  <c r="S1290" i="5"/>
  <c r="T1293" i="5"/>
  <c r="S1293" i="5"/>
  <c r="F1301" i="5"/>
  <c r="T1325" i="5"/>
  <c r="S1325" i="5"/>
  <c r="F1333" i="5"/>
  <c r="E1336" i="5"/>
  <c r="X1336" i="5" s="1"/>
  <c r="V1339" i="5"/>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AB1733" i="5"/>
  <c r="T1733" i="5"/>
  <c r="S1733" i="5"/>
  <c r="V1859" i="5"/>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J1492"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T1647" i="5"/>
  <c r="S1647" i="5"/>
  <c r="E1649" i="5"/>
  <c r="X1649" i="5" s="1"/>
  <c r="I1649" i="5"/>
  <c r="H1649" i="5"/>
  <c r="F1649" i="5"/>
  <c r="AB1684" i="5"/>
  <c r="V1684" i="5"/>
  <c r="F1684" i="5" s="1"/>
  <c r="AB1708" i="5"/>
  <c r="V1708" i="5"/>
  <c r="I1708" i="5" s="1"/>
  <c r="V1786" i="5"/>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AB1671" i="5"/>
  <c r="V1672" i="5"/>
  <c r="F1672" i="5" s="1"/>
  <c r="AB1673" i="5"/>
  <c r="AB1676" i="5"/>
  <c r="H1677" i="5"/>
  <c r="H1685" i="5"/>
  <c r="V1688" i="5"/>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AB1497" i="5"/>
  <c r="S1568" i="5"/>
  <c r="S1600" i="5"/>
  <c r="S1631" i="5"/>
  <c r="S1636" i="5"/>
  <c r="I1637" i="5"/>
  <c r="V1644" i="5"/>
  <c r="AB1645" i="5"/>
  <c r="AB1648" i="5"/>
  <c r="S1651" i="5"/>
  <c r="AB1653" i="5"/>
  <c r="AB1656" i="5"/>
  <c r="AB1659" i="5"/>
  <c r="I1661" i="5"/>
  <c r="S1680" i="5"/>
  <c r="I1681" i="5"/>
  <c r="T1683" i="5"/>
  <c r="AB1699" i="5"/>
  <c r="V1700" i="5"/>
  <c r="H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S1691" i="5"/>
  <c r="F1709" i="5"/>
  <c r="AB1711" i="5"/>
  <c r="V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J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E2092" i="5" s="1"/>
  <c r="X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0" i="5" s="1"/>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R395" i="5"/>
  <c r="J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J448" i="5"/>
  <c r="S449" i="5"/>
  <c r="V450" i="5"/>
  <c r="H451" i="5"/>
  <c r="J452" i="5"/>
  <c r="S453" i="5"/>
  <c r="V454" i="5"/>
  <c r="H455" i="5"/>
  <c r="J456" i="5"/>
  <c r="S457" i="5"/>
  <c r="V458" i="5"/>
  <c r="S460" i="5"/>
  <c r="H461"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S420" i="5"/>
  <c r="S424" i="5"/>
  <c r="S428" i="5"/>
  <c r="S432" i="5"/>
  <c r="S436" i="5"/>
  <c r="S440" i="5"/>
  <c r="S444" i="5"/>
  <c r="S448" i="5"/>
  <c r="J451" i="5"/>
  <c r="S452" i="5"/>
  <c r="J455" i="5"/>
  <c r="S456" i="5"/>
  <c r="J461" i="5"/>
  <c r="V462" i="5"/>
  <c r="G462" i="5" s="1"/>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H562" i="5"/>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G417" i="5"/>
  <c r="T420" i="5"/>
  <c r="G421" i="5"/>
  <c r="T424" i="5"/>
  <c r="G425" i="5"/>
  <c r="T428" i="5"/>
  <c r="G429" i="5"/>
  <c r="T432" i="5"/>
  <c r="G433" i="5"/>
  <c r="T436" i="5"/>
  <c r="G437" i="5"/>
  <c r="T440" i="5"/>
  <c r="G441" i="5"/>
  <c r="R443" i="5"/>
  <c r="T444" i="5"/>
  <c r="G445"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AB578" i="5"/>
  <c r="T578" i="5"/>
  <c r="S578" i="5"/>
  <c r="AB581" i="5"/>
  <c r="V581" i="5"/>
  <c r="G581" i="5" s="1"/>
  <c r="H682" i="5"/>
  <c r="R682" i="5"/>
  <c r="J682" i="5"/>
  <c r="I682" i="5"/>
  <c r="F682" i="5"/>
  <c r="E682" i="5"/>
  <c r="X682" i="5" s="1"/>
  <c r="S461"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E598" i="5"/>
  <c r="X598" i="5" s="1"/>
  <c r="T598" i="5"/>
  <c r="I600" i="5"/>
  <c r="E602" i="5"/>
  <c r="X602" i="5" s="1"/>
  <c r="T602" i="5"/>
  <c r="I604" i="5"/>
  <c r="E606" i="5"/>
  <c r="X606" i="5" s="1"/>
  <c r="T606"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T634" i="5"/>
  <c r="I636" i="5"/>
  <c r="E638" i="5"/>
  <c r="X638" i="5" s="1"/>
  <c r="T638" i="5"/>
  <c r="E642" i="5"/>
  <c r="X642" i="5" s="1"/>
  <c r="T642" i="5"/>
  <c r="I644" i="5"/>
  <c r="E646" i="5"/>
  <c r="X646" i="5" s="1"/>
  <c r="T646"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S665" i="5"/>
  <c r="J668" i="5"/>
  <c r="S669"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G731" i="5"/>
  <c r="E732" i="5"/>
  <c r="X732" i="5" s="1"/>
  <c r="F733" i="5"/>
  <c r="E733" i="5"/>
  <c r="X733" i="5" s="1"/>
  <c r="J733" i="5"/>
  <c r="I733" i="5"/>
  <c r="AB737" i="5"/>
  <c r="S741" i="5"/>
  <c r="J742" i="5"/>
  <c r="R743" i="5"/>
  <c r="I744" i="5"/>
  <c r="H745"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I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50" i="5"/>
  <c r="G758"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R1224" i="5"/>
  <c r="H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J1260" i="5"/>
  <c r="I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J1308" i="5"/>
  <c r="I1308" i="5"/>
  <c r="E1308" i="5"/>
  <c r="X1308" i="5" s="1"/>
  <c r="V1311" i="5"/>
  <c r="R1312" i="5"/>
  <c r="J1312" i="5"/>
  <c r="I1312" i="5"/>
  <c r="G1312" i="5"/>
  <c r="F1312" i="5"/>
  <c r="E1312" i="5"/>
  <c r="X1312" i="5" s="1"/>
  <c r="V1315" i="5"/>
  <c r="G1315" i="5" s="1"/>
  <c r="R1316" i="5"/>
  <c r="J1316" i="5"/>
  <c r="I1316" i="5"/>
  <c r="G1316" i="5"/>
  <c r="F1316" i="5"/>
  <c r="E1316" i="5"/>
  <c r="X1316" i="5" s="1"/>
  <c r="V1319" i="5"/>
  <c r="J1320" i="5"/>
  <c r="F1320"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I1095" i="5"/>
  <c r="G1098" i="5"/>
  <c r="I1099" i="5"/>
  <c r="G1102" i="5"/>
  <c r="I1103" i="5"/>
  <c r="G1106"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H1285" i="5"/>
  <c r="AB1287" i="5"/>
  <c r="H1289" i="5"/>
  <c r="AB1291" i="5"/>
  <c r="H1293" i="5"/>
  <c r="AB1295" i="5"/>
  <c r="AB1299" i="5"/>
  <c r="H1301" i="5"/>
  <c r="AB1303" i="5"/>
  <c r="H1305" i="5"/>
  <c r="AB1307" i="5"/>
  <c r="H1309" i="5"/>
  <c r="AB1311" i="5"/>
  <c r="AB1315" i="5"/>
  <c r="AB1319" i="5"/>
  <c r="H1321" i="5"/>
  <c r="AB1323" i="5"/>
  <c r="AB1327" i="5"/>
  <c r="H1329" i="5"/>
  <c r="AB1331" i="5"/>
  <c r="H1333" i="5"/>
  <c r="AB1335" i="5"/>
  <c r="R1336" i="5"/>
  <c r="J1336" i="5"/>
  <c r="I1336" i="5"/>
  <c r="I1339" i="5"/>
  <c r="J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7" i="5"/>
  <c r="R991" i="5"/>
  <c r="R995" i="5"/>
  <c r="R999" i="5"/>
  <c r="R1007" i="5"/>
  <c r="R1011" i="5"/>
  <c r="R1015" i="5"/>
  <c r="R1019" i="5"/>
  <c r="R1023" i="5"/>
  <c r="R1027" i="5"/>
  <c r="R1031" i="5"/>
  <c r="R1043" i="5"/>
  <c r="R1047" i="5"/>
  <c r="R1059" i="5"/>
  <c r="R1063" i="5"/>
  <c r="R1067" i="5"/>
  <c r="R1071" i="5"/>
  <c r="R1075" i="5"/>
  <c r="R1079" i="5"/>
  <c r="R1083" i="5"/>
  <c r="R1087" i="5"/>
  <c r="R1091" i="5"/>
  <c r="R1099" i="5"/>
  <c r="R1103" i="5"/>
  <c r="R1111" i="5"/>
  <c r="R1119" i="5"/>
  <c r="R1123"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301" i="5"/>
  <c r="X1301" i="5" s="1"/>
  <c r="R1301" i="5"/>
  <c r="E1305" i="5"/>
  <c r="X1305" i="5" s="1"/>
  <c r="R1305" i="5"/>
  <c r="E1309" i="5"/>
  <c r="X1309" i="5" s="1"/>
  <c r="R1309" i="5"/>
  <c r="E1321" i="5"/>
  <c r="X1321" i="5" s="1"/>
  <c r="R1321"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I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F1508" i="5"/>
  <c r="G1511" i="5"/>
  <c r="F1511" i="5"/>
  <c r="R1511" i="5"/>
  <c r="AB1512" i="5"/>
  <c r="T1512" i="5"/>
  <c r="G1513" i="5"/>
  <c r="AB1517" i="5"/>
  <c r="T1518" i="5"/>
  <c r="S1518" i="5"/>
  <c r="AB1518" i="5"/>
  <c r="E1526" i="5"/>
  <c r="X1526" i="5" s="1"/>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R1403" i="5"/>
  <c r="F1411" i="5"/>
  <c r="R1411" i="5"/>
  <c r="F1419" i="5"/>
  <c r="R1419" i="5"/>
  <c r="I1423" i="5"/>
  <c r="H1426" i="5"/>
  <c r="F1427" i="5"/>
  <c r="R1427" i="5"/>
  <c r="I1431" i="5"/>
  <c r="H1434"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AB1435" i="5"/>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I1644"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7" i="5"/>
  <c r="F1601" i="5"/>
  <c r="F1605" i="5"/>
  <c r="F1609" i="5"/>
  <c r="F1613" i="5"/>
  <c r="F1617" i="5"/>
  <c r="F1621" i="5"/>
  <c r="S1627" i="5"/>
  <c r="AB1631" i="5"/>
  <c r="F1636" i="5"/>
  <c r="AB1646" i="5"/>
  <c r="T1646" i="5"/>
  <c r="S1646" i="5"/>
  <c r="E1652" i="5"/>
  <c r="X1652" i="5" s="1"/>
  <c r="R1652" i="5"/>
  <c r="H1652" i="5"/>
  <c r="V1659" i="5"/>
  <c r="AB1663" i="5"/>
  <c r="AB1678" i="5"/>
  <c r="T1678" i="5"/>
  <c r="S1678" i="5"/>
  <c r="E1684" i="5"/>
  <c r="X1684" i="5" s="1"/>
  <c r="R1684" i="5"/>
  <c r="J1684" i="5"/>
  <c r="I1684" i="5"/>
  <c r="H1684" i="5"/>
  <c r="V1691" i="5"/>
  <c r="G1691" i="5" s="1"/>
  <c r="AB1695" i="5"/>
  <c r="AB1710" i="5"/>
  <c r="T1710" i="5"/>
  <c r="S1710" i="5"/>
  <c r="E1716" i="5"/>
  <c r="X1716" i="5" s="1"/>
  <c r="I1716" i="5"/>
  <c r="H1716"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7" i="5"/>
  <c r="H1601" i="5"/>
  <c r="H1605" i="5"/>
  <c r="H1609" i="5"/>
  <c r="H1613" i="5"/>
  <c r="H1617" i="5"/>
  <c r="H1621" i="5"/>
  <c r="V1635" i="5"/>
  <c r="G1635" i="5" s="1"/>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AB1718" i="5"/>
  <c r="T1718" i="5"/>
  <c r="S1718" i="5"/>
  <c r="J1724" i="5"/>
  <c r="I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H1668"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61" i="5"/>
  <c r="J1673" i="5"/>
  <c r="J1677" i="5"/>
  <c r="J1681" i="5"/>
  <c r="J1685" i="5"/>
  <c r="J1689" i="5"/>
  <c r="J1693" i="5"/>
  <c r="J1701" i="5"/>
  <c r="J1705" i="5"/>
  <c r="J1709" i="5"/>
  <c r="J1713" i="5"/>
  <c r="J1717" i="5"/>
  <c r="J1721" i="5"/>
  <c r="J1725"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61" i="5"/>
  <c r="R1665" i="5"/>
  <c r="R1669"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AB1857" i="5"/>
  <c r="T1857" i="5"/>
  <c r="S1857" i="5"/>
  <c r="R1859" i="5"/>
  <c r="J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J2003" i="5"/>
  <c r="I2003" i="5"/>
  <c r="V2010" i="5"/>
  <c r="G2010" i="5" s="1"/>
  <c r="AB2017" i="5"/>
  <c r="T2017" i="5"/>
  <c r="S2017" i="5"/>
  <c r="J2035" i="5"/>
  <c r="V2042" i="5"/>
  <c r="G2042" i="5" s="1"/>
  <c r="T2049" i="5"/>
  <c r="S2049" i="5"/>
  <c r="AB2049" i="5"/>
  <c r="I2083" i="5"/>
  <c r="H2083" i="5"/>
  <c r="R2083" i="5"/>
  <c r="J2083" i="5"/>
  <c r="F2083" i="5"/>
  <c r="E2083" i="5"/>
  <c r="X2083" i="5" s="1"/>
  <c r="I2092" i="5"/>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E1967" i="5"/>
  <c r="X1967" i="5" s="1"/>
  <c r="R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20" i="5"/>
  <c r="R2024" i="5"/>
  <c r="R2028" i="5"/>
  <c r="R2032" i="5"/>
  <c r="R2036" i="5"/>
  <c r="R2040" i="5"/>
  <c r="R2044" i="5"/>
  <c r="R2048" i="5"/>
  <c r="V2052" i="5"/>
  <c r="I2053" i="5"/>
  <c r="T2055" i="5"/>
  <c r="V2060" i="5"/>
  <c r="I2061" i="5"/>
  <c r="T2063" i="5"/>
  <c r="V2068" i="5"/>
  <c r="I2069"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J2164" i="5"/>
  <c r="I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R2480" i="5"/>
  <c r="G2480"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B10" i="5" l="1"/>
  <c r="B16" i="5"/>
  <c r="B11" i="5"/>
  <c r="B15" i="5"/>
  <c r="B13" i="5"/>
  <c r="B14" i="5"/>
  <c r="B12" i="5"/>
  <c r="C12" i="6"/>
  <c r="C8" i="6"/>
  <c r="C9" i="6"/>
  <c r="C11" i="6"/>
  <c r="C7" i="6"/>
  <c r="C10" i="6"/>
  <c r="B7" i="5"/>
  <c r="B8" i="5"/>
  <c r="B9" i="5"/>
  <c r="C7" i="5"/>
  <c r="C6" i="5"/>
  <c r="B6" i="5"/>
  <c r="B5" i="5"/>
  <c r="C5" i="5"/>
  <c r="R1644" i="5"/>
  <c r="F1644" i="5"/>
  <c r="J1644" i="5"/>
  <c r="F2043" i="5"/>
  <c r="I2043" i="5"/>
  <c r="E2043" i="5"/>
  <c r="X2043" i="5" s="1"/>
  <c r="H2043" i="5"/>
  <c r="F1688" i="5"/>
  <c r="I1688" i="5"/>
  <c r="E1688" i="5"/>
  <c r="X1688" i="5" s="1"/>
  <c r="H1688" i="5"/>
  <c r="G1657" i="5"/>
  <c r="R1657" i="5"/>
  <c r="R1110" i="5"/>
  <c r="J1110" i="5"/>
  <c r="G419" i="5"/>
  <c r="R419" i="5"/>
  <c r="G215" i="5"/>
  <c r="J215" i="5"/>
  <c r="R562" i="5"/>
  <c r="E562" i="5"/>
  <c r="X562" i="5" s="1"/>
  <c r="J562" i="5"/>
  <c r="F262" i="5"/>
  <c r="I262" i="5"/>
  <c r="E262" i="5"/>
  <c r="X262" i="5" s="1"/>
  <c r="G262" i="5"/>
  <c r="G1947" i="5"/>
  <c r="R1947" i="5"/>
  <c r="J1947" i="5"/>
  <c r="E1665" i="5"/>
  <c r="X1665" i="5" s="1"/>
  <c r="F1665" i="5"/>
  <c r="J1665" i="5"/>
  <c r="I1593" i="5"/>
  <c r="F1593" i="5"/>
  <c r="G1593" i="5"/>
  <c r="R1593" i="5"/>
  <c r="J1593" i="5"/>
  <c r="E1593" i="5"/>
  <c r="X1593" i="5" s="1"/>
  <c r="J1688" i="5"/>
  <c r="R415" i="5"/>
  <c r="I562" i="5"/>
  <c r="E1936" i="5"/>
  <c r="X1936" i="5" s="1"/>
  <c r="F1936" i="5"/>
  <c r="G1668" i="5"/>
  <c r="R1668" i="5"/>
  <c r="F1668" i="5"/>
  <c r="J1668" i="5"/>
  <c r="G1222" i="5"/>
  <c r="E1222" i="5"/>
  <c r="X1222" i="5" s="1"/>
  <c r="E1297" i="5"/>
  <c r="X1297" i="5" s="1"/>
  <c r="H1297" i="5"/>
  <c r="R1297" i="5"/>
  <c r="G1851" i="5"/>
  <c r="J1851" i="5"/>
  <c r="H1851" i="5"/>
  <c r="H1665" i="5"/>
  <c r="E1680" i="5"/>
  <c r="X1680" i="5" s="1"/>
  <c r="H1680" i="5"/>
  <c r="R1680" i="5"/>
  <c r="G1680" i="5"/>
  <c r="J1313" i="5"/>
  <c r="I1313" i="5"/>
  <c r="E1313" i="5"/>
  <c r="X1313" i="5" s="1"/>
  <c r="H1313" i="5"/>
  <c r="R1313" i="5"/>
  <c r="G1051" i="5"/>
  <c r="R1051" i="5"/>
  <c r="R1385" i="5"/>
  <c r="J1385" i="5"/>
  <c r="I1385" i="5"/>
  <c r="H1385" i="5"/>
  <c r="F1385" i="5"/>
  <c r="H1320" i="5"/>
  <c r="I1320" i="5"/>
  <c r="G1320" i="5"/>
  <c r="G672" i="5"/>
  <c r="J672" i="5"/>
  <c r="I672" i="5"/>
  <c r="G808" i="5"/>
  <c r="I808" i="5"/>
  <c r="G608" i="5"/>
  <c r="I608" i="5"/>
  <c r="G314" i="5"/>
  <c r="E314" i="5"/>
  <c r="X314" i="5" s="1"/>
  <c r="G2003" i="5"/>
  <c r="E2003" i="5"/>
  <c r="X2003" i="5" s="1"/>
  <c r="H2003" i="5"/>
  <c r="R2003" i="5"/>
  <c r="G1842" i="5"/>
  <c r="R1842" i="5"/>
  <c r="J1140" i="5"/>
  <c r="I1140" i="5"/>
  <c r="G1435" i="5"/>
  <c r="F1435" i="5"/>
  <c r="E2480" i="5"/>
  <c r="X2480" i="5" s="1"/>
  <c r="H2480" i="5"/>
  <c r="J2318" i="5"/>
  <c r="R2164" i="5"/>
  <c r="R2016" i="5"/>
  <c r="F1947" i="5"/>
  <c r="J2043" i="5"/>
  <c r="E2011" i="5"/>
  <c r="X2011" i="5" s="1"/>
  <c r="H1947" i="5"/>
  <c r="R1851" i="5"/>
  <c r="J1657" i="5"/>
  <c r="I1668" i="5"/>
  <c r="R1688" i="5"/>
  <c r="E1435" i="5"/>
  <c r="X1435" i="5" s="1"/>
  <c r="J1680" i="5"/>
  <c r="H1158" i="5"/>
  <c r="H1325" i="5"/>
  <c r="G982" i="5"/>
  <c r="I1110" i="5"/>
  <c r="R1320" i="5"/>
  <c r="G746" i="5"/>
  <c r="E746" i="5"/>
  <c r="X746" i="5" s="1"/>
  <c r="I632" i="5"/>
  <c r="H672" i="5"/>
  <c r="J262" i="5"/>
  <c r="G1859" i="5"/>
  <c r="I1859" i="5"/>
  <c r="E1859" i="5"/>
  <c r="X1859" i="5" s="1"/>
  <c r="H1859" i="5"/>
  <c r="F1724" i="5"/>
  <c r="E1724" i="5"/>
  <c r="X1724" i="5" s="1"/>
  <c r="H1724" i="5"/>
  <c r="R1724" i="5"/>
  <c r="F1051" i="5"/>
  <c r="G1190" i="5"/>
  <c r="H1190" i="5"/>
  <c r="H1260" i="5"/>
  <c r="G1260" i="5"/>
  <c r="R1260" i="5"/>
  <c r="F1260" i="5"/>
  <c r="E1224" i="5"/>
  <c r="X1224" i="5" s="1"/>
  <c r="J1224" i="5"/>
  <c r="F1224" i="5"/>
  <c r="I1224" i="5"/>
  <c r="J1051" i="5"/>
  <c r="G1039" i="5"/>
  <c r="I1039" i="5"/>
  <c r="R1039" i="5"/>
  <c r="R808" i="5"/>
  <c r="H239" i="5"/>
  <c r="G2325" i="5"/>
  <c r="H2325" i="5"/>
  <c r="I1673" i="5"/>
  <c r="E1673" i="5"/>
  <c r="X1673" i="5" s="1"/>
  <c r="H1673" i="5"/>
  <c r="R1673" i="5"/>
  <c r="H2257" i="5"/>
  <c r="R2257" i="5"/>
  <c r="F2257" i="5"/>
  <c r="G1403" i="5"/>
  <c r="I1403" i="5"/>
  <c r="F1403" i="5"/>
  <c r="G1633" i="5"/>
  <c r="H1633" i="5"/>
  <c r="H1308" i="5"/>
  <c r="G1308" i="5"/>
  <c r="R1308" i="5"/>
  <c r="F1308" i="5"/>
  <c r="F1716" i="5"/>
  <c r="R1716" i="5"/>
  <c r="J1716" i="5"/>
  <c r="G1526" i="5"/>
  <c r="J1526" i="5"/>
  <c r="I1526" i="5"/>
  <c r="E1067" i="5"/>
  <c r="X1067" i="5" s="1"/>
  <c r="F1067" i="5"/>
  <c r="I1067" i="5"/>
  <c r="J730" i="5"/>
  <c r="F730" i="5"/>
  <c r="I175" i="5"/>
  <c r="F175" i="5"/>
  <c r="G1700" i="5"/>
  <c r="J1700" i="5"/>
  <c r="R1708" i="5"/>
  <c r="F1708" i="5"/>
  <c r="G1708" i="5"/>
  <c r="J1708" i="5"/>
  <c r="G983" i="5"/>
  <c r="R983" i="5"/>
  <c r="F829" i="5"/>
  <c r="R829" i="5"/>
  <c r="G496" i="5"/>
  <c r="E496" i="5"/>
  <c r="X496" i="5" s="1"/>
  <c r="I496" i="5"/>
  <c r="G596" i="5"/>
  <c r="H596" i="5"/>
  <c r="G447" i="5"/>
  <c r="R447" i="5"/>
  <c r="E982" i="5"/>
  <c r="X982" i="5" s="1"/>
  <c r="J982" i="5"/>
  <c r="I982" i="5"/>
  <c r="G1158" i="5"/>
  <c r="E1158" i="5"/>
  <c r="X1158" i="5" s="1"/>
  <c r="F103" i="5"/>
  <c r="I103" i="5"/>
  <c r="F574" i="5"/>
  <c r="E574" i="5"/>
  <c r="X574" i="5" s="1"/>
  <c r="R574" i="5"/>
  <c r="J574" i="5"/>
  <c r="R463" i="5"/>
  <c r="F463" i="5"/>
  <c r="J463" i="5"/>
  <c r="J2480" i="5"/>
  <c r="E2016" i="5"/>
  <c r="X2016" i="5" s="1"/>
  <c r="E1947" i="5"/>
  <c r="X1947" i="5" s="1"/>
  <c r="R2011" i="5"/>
  <c r="H1708" i="5"/>
  <c r="E1644" i="5"/>
  <c r="X1644" i="5" s="1"/>
  <c r="I829" i="5"/>
  <c r="R2092" i="5"/>
  <c r="G2092" i="5"/>
  <c r="J2092" i="5"/>
  <c r="F2092" i="5"/>
  <c r="J1712" i="5"/>
  <c r="E1712" i="5"/>
  <c r="X1712" i="5" s="1"/>
  <c r="R1712" i="5"/>
  <c r="E1508" i="5"/>
  <c r="X1508" i="5" s="1"/>
  <c r="I1508" i="5"/>
  <c r="F1339" i="5"/>
  <c r="E1339" i="5"/>
  <c r="X1339" i="5" s="1"/>
  <c r="R1339" i="5"/>
  <c r="J891" i="5"/>
  <c r="R891" i="5"/>
  <c r="G648" i="5"/>
  <c r="I648" i="5"/>
  <c r="E463" i="5"/>
  <c r="X463" i="5" s="1"/>
  <c r="F91" i="5"/>
  <c r="G1325" i="5"/>
  <c r="E1325" i="5"/>
  <c r="X1325" i="5" s="1"/>
  <c r="R1325" i="5"/>
  <c r="G836" i="5"/>
  <c r="E836" i="5"/>
  <c r="X836" i="5" s="1"/>
  <c r="F1086" i="5"/>
  <c r="R1086" i="5"/>
  <c r="F2480" i="5"/>
  <c r="E2386" i="5"/>
  <c r="X2386" i="5" s="1"/>
  <c r="R2318" i="5"/>
  <c r="J2181" i="5"/>
  <c r="H2164" i="5"/>
  <c r="J2077" i="5"/>
  <c r="I2077" i="5"/>
  <c r="R2043" i="5"/>
  <c r="H2092" i="5"/>
  <c r="I1947" i="5"/>
  <c r="E1851" i="5"/>
  <c r="X1851" i="5" s="1"/>
  <c r="I1700" i="5"/>
  <c r="E1668" i="5"/>
  <c r="X1668" i="5" s="1"/>
  <c r="H1593" i="5"/>
  <c r="E1708" i="5"/>
  <c r="X1708" i="5" s="1"/>
  <c r="H1644" i="5"/>
  <c r="R1435" i="5"/>
  <c r="R1253" i="5"/>
  <c r="F1222" i="5"/>
  <c r="H1339" i="5"/>
  <c r="H1253" i="5"/>
  <c r="G1110" i="5"/>
  <c r="I1051" i="5"/>
  <c r="E1320" i="5"/>
  <c r="X1320" i="5" s="1"/>
  <c r="H982" i="5"/>
  <c r="F836" i="5"/>
  <c r="R746" i="5"/>
  <c r="I574" i="5"/>
  <c r="H463" i="5"/>
  <c r="J447" i="5"/>
  <c r="J419" i="5"/>
  <c r="F314" i="5"/>
  <c r="I261" i="5"/>
  <c r="R262" i="5"/>
  <c r="F1967" i="5"/>
  <c r="J1967" i="5"/>
  <c r="I1665" i="5"/>
  <c r="G1385" i="5"/>
  <c r="G1786" i="5"/>
  <c r="H1786" i="5"/>
  <c r="F1313" i="5"/>
  <c r="F1652" i="5"/>
  <c r="J1652" i="5"/>
  <c r="I1652" i="5"/>
  <c r="J1438" i="5"/>
  <c r="E1438" i="5"/>
  <c r="X1438" i="5" s="1"/>
  <c r="F808" i="5"/>
  <c r="G650" i="5"/>
  <c r="H650" i="5"/>
  <c r="G664" i="5"/>
  <c r="J664" i="5"/>
  <c r="J752" i="5"/>
  <c r="H752" i="5"/>
  <c r="G395" i="5"/>
  <c r="H395" i="5"/>
  <c r="E395" i="5"/>
  <c r="X395" i="5" s="1"/>
  <c r="B32" i="6"/>
  <c r="G32" i="6" s="1"/>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G30" i="6" s="1"/>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F31" i="6" s="1"/>
  <c r="X18" i="5"/>
  <c r="B52" i="6"/>
  <c r="G52" i="6" s="1"/>
  <c r="B37" i="6"/>
  <c r="G37" i="6" s="1"/>
  <c r="B42" i="6"/>
  <c r="G42" i="6" s="1"/>
  <c r="B40" i="6"/>
  <c r="G40" i="6" s="1"/>
  <c r="B50" i="6"/>
  <c r="G50" i="6" s="1"/>
  <c r="B25" i="6"/>
  <c r="G25" i="6" s="1"/>
  <c r="B35" i="6"/>
  <c r="G35" i="6" s="1"/>
  <c r="C15" i="5"/>
  <c r="C8" i="5"/>
  <c r="C9" i="5"/>
  <c r="C10" i="5"/>
  <c r="C11" i="5"/>
  <c r="C14" i="5"/>
  <c r="C12" i="5"/>
  <c r="C13" i="5"/>
  <c r="C17" i="5"/>
  <c r="C16" i="5"/>
  <c r="B39" i="6"/>
  <c r="G39" i="6" s="1"/>
  <c r="F24" i="6"/>
  <c r="F39" i="6" s="1"/>
  <c r="H39" i="6" s="1"/>
  <c r="D39" i="6" s="1"/>
  <c r="C14" i="6"/>
  <c r="B44" i="6"/>
  <c r="G44" i="6" s="1"/>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H22" i="6" s="1"/>
  <c r="K68" i="6" s="1"/>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G21" i="6"/>
  <c r="H21" i="6" s="1"/>
  <c r="B36" i="6"/>
  <c r="G36" i="6" s="1"/>
  <c r="G20" i="6"/>
  <c r="H20" i="6" s="1"/>
  <c r="K66"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H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41" i="6"/>
  <c r="H41" i="6" s="1"/>
  <c r="D41" i="6" s="1"/>
  <c r="F36" i="6"/>
  <c r="J2479" i="5"/>
  <c r="I2479" i="5"/>
  <c r="E2479" i="5"/>
  <c r="X2479" i="5" s="1"/>
  <c r="R2479" i="5"/>
  <c r="H2479" i="5"/>
  <c r="G2479" i="5"/>
  <c r="F2479" i="5"/>
  <c r="F45" i="6"/>
  <c r="F66" i="6"/>
  <c r="F50" i="6"/>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34" i="6"/>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H36" i="6" l="1"/>
  <c r="D36" i="6" s="1"/>
  <c r="H50" i="6"/>
  <c r="D50" i="6" s="1"/>
  <c r="H45" i="6"/>
  <c r="D45" i="6" s="1"/>
  <c r="F67" i="6"/>
  <c r="H24" i="6"/>
  <c r="F49" i="6"/>
  <c r="H49" i="6" s="1"/>
  <c r="D49" i="6" s="1"/>
  <c r="AB6" i="5"/>
  <c r="V6" i="5"/>
  <c r="G6" i="5" s="1"/>
  <c r="V5" i="5"/>
  <c r="G5" i="5" s="1"/>
  <c r="AB5" i="5"/>
  <c r="F44" i="6"/>
  <c r="H44" i="6" s="1"/>
  <c r="D44" i="6" s="1"/>
  <c r="F54" i="6"/>
  <c r="F57" i="6" s="1"/>
  <c r="H57" i="6" s="1"/>
  <c r="H42" i="6"/>
  <c r="D42" i="6" s="1"/>
  <c r="H35" i="6"/>
  <c r="D35" i="6" s="1"/>
  <c r="F46" i="6"/>
  <c r="H26" i="6"/>
  <c r="D26" i="6" s="1"/>
  <c r="F65" i="6"/>
  <c r="C2" i="6" s="1"/>
  <c r="H40" i="6"/>
  <c r="D40" i="6" s="1"/>
  <c r="F29" i="6"/>
  <c r="H29" i="6" s="1"/>
  <c r="D29" i="6" s="1"/>
  <c r="F51" i="6"/>
  <c r="H51" i="6" s="1"/>
  <c r="D51" i="6" s="1"/>
  <c r="H46" i="6"/>
  <c r="D46" i="6" s="1"/>
  <c r="H31" i="6"/>
  <c r="C31" i="6" s="1"/>
  <c r="C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34" i="6"/>
  <c r="H32" i="6"/>
  <c r="C45" i="6"/>
  <c r="D19" i="6"/>
  <c r="C19" i="6"/>
  <c r="K65" i="6"/>
  <c r="D24" i="6"/>
  <c r="C24" i="6"/>
  <c r="X100" i="5"/>
  <c r="D27" i="6"/>
  <c r="C27" i="6"/>
  <c r="C36" i="6"/>
  <c r="C41" i="6"/>
  <c r="C20" i="6"/>
  <c r="D20" i="6"/>
  <c r="B2" i="6"/>
  <c r="H54" i="6"/>
  <c r="F58" i="6"/>
  <c r="H58" i="6" s="1"/>
  <c r="F60" i="6"/>
  <c r="H60" i="6" s="1"/>
  <c r="F63" i="6"/>
  <c r="H63" i="6" s="1"/>
  <c r="F55" i="6"/>
  <c r="C37" i="6"/>
  <c r="D25" i="6"/>
  <c r="C25" i="6"/>
  <c r="D21" i="6"/>
  <c r="C21" i="6"/>
  <c r="C39" i="6"/>
  <c r="D22" i="6"/>
  <c r="C22" i="6"/>
  <c r="H47" i="6"/>
  <c r="D47" i="6" s="1"/>
  <c r="C52" i="6"/>
  <c r="C50" i="6"/>
  <c r="C51" i="6" l="1"/>
  <c r="C26" i="6"/>
  <c r="F59" i="6"/>
  <c r="H59" i="6" s="1"/>
  <c r="F62" i="6"/>
  <c r="H62" i="6" s="1"/>
  <c r="C35" i="6"/>
  <c r="C44" i="6"/>
  <c r="R6" i="5"/>
  <c r="I6" i="5"/>
  <c r="J6" i="5"/>
  <c r="E6" i="5"/>
  <c r="F6" i="5"/>
  <c r="R5" i="5"/>
  <c r="E5" i="5"/>
  <c r="I5" i="5"/>
  <c r="J5" i="5"/>
  <c r="F5" i="5"/>
  <c r="G68" i="6"/>
  <c r="H68" i="6" s="1"/>
  <c r="D68" i="6" s="1"/>
  <c r="C40" i="6"/>
  <c r="C46" i="6"/>
  <c r="C42" i="6"/>
  <c r="C34" i="6"/>
  <c r="D34" i="6"/>
  <c r="D31" i="6"/>
  <c r="C30" i="6"/>
  <c r="D30" i="6"/>
  <c r="C32" i="6"/>
  <c r="D32" i="6"/>
  <c r="R16" i="5"/>
  <c r="I16" i="5"/>
  <c r="E16" i="5"/>
  <c r="J16" i="5"/>
  <c r="F16" i="5"/>
  <c r="E10" i="5"/>
  <c r="I10" i="5"/>
  <c r="F10" i="5"/>
  <c r="R10" i="5"/>
  <c r="J10" i="5"/>
  <c r="R13" i="5"/>
  <c r="J13" i="5"/>
  <c r="E13" i="5"/>
  <c r="I13" i="5"/>
  <c r="F13" i="5"/>
  <c r="E7" i="5"/>
  <c r="R7" i="5"/>
  <c r="F7" i="5"/>
  <c r="I7" i="5"/>
  <c r="J7" i="5"/>
  <c r="H17" i="5"/>
  <c r="I17" i="5"/>
  <c r="J17" i="5"/>
  <c r="R17" i="5"/>
  <c r="F17" i="5"/>
  <c r="E17" i="5"/>
  <c r="G7" i="5"/>
  <c r="G66" i="6"/>
  <c r="H66" i="6" s="1"/>
  <c r="C66" i="6" s="1"/>
  <c r="G67" i="6"/>
  <c r="H67" i="6" s="1"/>
  <c r="D67" i="6" s="1"/>
  <c r="G65" i="6"/>
  <c r="H65" i="6" s="1"/>
  <c r="C65" i="6" s="1"/>
  <c r="E12" i="5"/>
  <c r="I12" i="5"/>
  <c r="J12" i="5"/>
  <c r="R12" i="5"/>
  <c r="F12" i="5"/>
  <c r="J9" i="5"/>
  <c r="E9" i="5"/>
  <c r="I9" i="5"/>
  <c r="R9" i="5"/>
  <c r="F9" i="5"/>
  <c r="R8" i="5"/>
  <c r="J8" i="5"/>
  <c r="E8" i="5"/>
  <c r="I8" i="5"/>
  <c r="F8" i="5"/>
  <c r="G9" i="5"/>
  <c r="G10" i="5"/>
  <c r="G8" i="5"/>
  <c r="J15" i="5"/>
  <c r="E15" i="5"/>
  <c r="I15" i="5"/>
  <c r="F15" i="5"/>
  <c r="R15" i="5"/>
  <c r="R11" i="5"/>
  <c r="J11" i="5"/>
  <c r="F11" i="5"/>
  <c r="E11" i="5"/>
  <c r="I11" i="5"/>
  <c r="I14" i="5"/>
  <c r="R14" i="5"/>
  <c r="J14" i="5"/>
  <c r="E14" i="5"/>
  <c r="F14" i="5"/>
  <c r="C49" i="6"/>
  <c r="C47" i="6"/>
  <c r="C60" i="6"/>
  <c r="D60" i="6"/>
  <c r="D58" i="6"/>
  <c r="C58" i="6"/>
  <c r="D63" i="6"/>
  <c r="C63" i="6"/>
  <c r="C62" i="6"/>
  <c r="D62" i="6"/>
  <c r="C54" i="6"/>
  <c r="D54" i="6"/>
  <c r="D57" i="6"/>
  <c r="C57" i="6"/>
  <c r="F56" i="6"/>
  <c r="H56" i="6" s="1"/>
  <c r="H55" i="6"/>
  <c r="D59" i="6"/>
  <c r="C59" i="6"/>
  <c r="T17" i="5"/>
  <c r="T10" i="5"/>
  <c r="T6" i="5"/>
  <c r="T12" i="5"/>
  <c r="T8" i="5"/>
  <c r="T9" i="5"/>
  <c r="T15" i="5"/>
  <c r="T14" i="5"/>
  <c r="T5" i="5"/>
  <c r="T11" i="5"/>
  <c r="T16" i="5"/>
  <c r="T7" i="5"/>
  <c r="T13" i="5"/>
  <c r="C68" i="6" l="1"/>
  <c r="X6" i="5"/>
  <c r="X5" i="5"/>
  <c r="X13" i="5"/>
  <c r="X10" i="5"/>
  <c r="D65" i="6"/>
  <c r="X9" i="5"/>
  <c r="X12" i="5"/>
  <c r="X14" i="5"/>
  <c r="X17" i="5"/>
  <c r="S17" i="5"/>
  <c r="D66" i="6"/>
  <c r="C67" i="6"/>
  <c r="X11" i="5"/>
  <c r="X15" i="5"/>
  <c r="X8" i="5"/>
  <c r="X7" i="5"/>
  <c r="G69" i="6"/>
  <c r="H69" i="6" s="1"/>
  <c r="H70" i="6" s="1"/>
  <c r="D2" i="6" s="1"/>
  <c r="X16" i="5"/>
  <c r="D55" i="6"/>
  <c r="C55" i="6"/>
  <c r="D56" i="6"/>
  <c r="C56" i="6"/>
  <c r="S16" i="5"/>
  <c r="S6" i="5"/>
  <c r="S8" i="5"/>
  <c r="S7" i="5"/>
  <c r="S11" i="5"/>
  <c r="S14" i="5"/>
  <c r="S12" i="5"/>
  <c r="S10" i="5"/>
  <c r="S9" i="5"/>
  <c r="S5" i="5"/>
  <c r="S13" i="5"/>
  <c r="S15" i="5"/>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<sst xmlns="http://schemas.openxmlformats.org/spreadsheetml/2006/main" count="21912" uniqueCount="15543">
  <si>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</si>
  <si>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</si>
  <si>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</si>
  <si>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</si>
  <si>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</si>
  <si>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</si>
  <si>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</si>
  <si>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</si>
  <si>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</si>
  <si>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</si>
  <si>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</si>
  <si>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</si>
  <si>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</si>
  <si>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</si>
  <si>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</si>
  <si>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</si>
  <si>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</si>
  <si>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</si>
  <si>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</si>
  <si>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</si>
  <si>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</si>
  <si>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</si>
  <si>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</si>
  <si>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</si>
  <si>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</si>
  <si>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</si>
  <si>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</si>
  <si>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</si>
  <si>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</si>
  <si>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</si>
  <si>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</si>
  <si>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</si>
  <si>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</si>
  <si>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</si>
  <si>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</si>
  <si>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</si>
  <si>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</si>
  <si>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</si>
  <si>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</si>
  <si>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</si>
  <si>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</si>
  <si>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</si>
  <si>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</si>
  <si>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</si>
  <si>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</si>
  <si>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</si>
  <si>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</si>
  <si>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</si>
  <si>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</si>
  <si>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</si>
  <si>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</si>
  <si>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</si>
  <si>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</si>
  <si>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</si>
  <si>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</si>
  <si>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</si>
  <si>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</si>
  <si>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</si>
  <si>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</si>
  <si>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</si>
  <si>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</si>
  <si>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</si>
  <si>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</si>
  <si>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</si>
  <si>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</si>
  <si>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</si>
  <si>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</si>
  <si>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</si>
  <si>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</si>
  <si>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</si>
  <si>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</si>
  <si>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</si>
  <si>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</si>
  <si>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</si>
  <si>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</si>
  <si>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</si>
  <si>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</si>
  <si>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</si>
  <si>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</si>
  <si>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</si>
  <si>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</si>
  <si>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</si>
  <si>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</si>
  <si>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</si>
  <si>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</si>
  <si>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</si>
  <si>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</si>
  <si>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</si>
  <si>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</si>
  <si>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</si>
  <si>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</si>
  <si>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</si>
  <si>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</si>
  <si>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</si>
  <si>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</si>
  <si>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</si>
  <si>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</si>
  <si>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</si>
  <si>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</si>
  <si>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</si>
  <si>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</si>
  <si>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</si>
  <si>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</si>
  <si>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</si>
  <si>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</si>
  <si>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</si>
  <si>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</si>
  <si>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</si>
  <si>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</si>
  <si>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</si>
  <si>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</si>
  <si>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</si>
  <si>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</si>
  <si>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</si>
  <si>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</si>
  <si>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</si>
  <si>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</si>
  <si>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</si>
  <si>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</si>
  <si>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</si>
  <si>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</si>
  <si>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</si>
  <si>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</si>
  <si>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</si>
  <si>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</si>
  <si>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</si>
  <si>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</si>
  <si>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</si>
  <si>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</si>
  <si>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</si>
  <si>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</si>
  <si>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</si>
  <si>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</si>
  <si>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</si>
  <si>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</si>
  <si>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</si>
  <si>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</si>
  <si>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</si>
  <si>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</si>
  <si>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</si>
  <si>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</si>
  <si>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</si>
  <si>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</si>
  <si>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</si>
  <si>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</si>
  <si>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</si>
  <si>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</si>
  <si>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</si>
  <si>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</si>
  <si>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</si>
  <si>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</si>
  <si>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</si>
  <si>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</si>
  <si>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</si>
  <si>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</si>
  <si>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</si>
  <si>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</si>
  <si>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</si>
  <si>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</si>
  <si>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</si>
  <si>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</si>
  <si>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</si>
  <si>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</si>
  <si>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</si>
  <si>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</si>
  <si>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</si>
  <si>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</si>
  <si>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</si>
  <si>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</si>
  <si>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</si>
  <si>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</si>
  <si>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</si>
  <si>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</si>
  <si>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</si>
  <si>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</si>
  <si>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</si>
  <si>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</si>
  <si>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</si>
  <si>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</si>
  <si>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</si>
  <si>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</si>
  <si>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</si>
  <si>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</si>
  <si>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</si>
  <si>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</si>
  <si>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</si>
  <si>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</si>
  <si>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</si>
  <si>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</si>
  <si>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</si>
  <si>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</si>
  <si>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</si>
  <si>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</si>
  <si>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</si>
  <si>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</si>
  <si>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</si>
  <si>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</si>
  <si>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</si>
  <si>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</si>
  <si>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</si>
  <si>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</si>
  <si>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</si>
  <si>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</si>
  <si>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</si>
  <si>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</si>
  <si>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</si>
  <si>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</si>
  <si>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</si>
  <si>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</si>
  <si>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</si>
  <si>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</si>
  <si>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</si>
  <si>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</si>
  <si>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</si>
  <si>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</si>
  <si>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</si>
  <si>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</si>
  <si>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</si>
  <si>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</si>
  <si>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</si>
  <si>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</si>
  <si>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</si>
  <si>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</si>
  <si>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</si>
  <si>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</si>
  <si>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</si>
  <si>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</si>
  <si>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</si>
  <si>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</si>
  <si>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</si>
  <si>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</si>
  <si>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</si>
  <si>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</si>
  <si>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</si>
  <si>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</si>
  <si>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</si>
  <si>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</si>
  <si>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</si>
  <si>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</si>
  <si>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</si>
  <si>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</si>
  <si>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</si>
  <si>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</si>
  <si>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</si>
  <si>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</si>
  <si>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</si>
  <si>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</si>
  <si>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</si>
  <si>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</si>
  <si>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</si>
  <si>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</si>
  <si>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</si>
  <si>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</si>
  <si>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</si>
  <si>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</si>
  <si>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</si>
  <si>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</si>
  <si>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</si>
  <si>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</si>
  <si>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</si>
  <si>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</si>
  <si>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</si>
  <si>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</si>
  <si>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</si>
  <si>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</si>
  <si>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</si>
  <si>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</si>
  <si>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</si>
  <si>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</si>
  <si>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</si>
  <si>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</si>
  <si>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</si>
  <si>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</si>
  <si>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</si>
  <si>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</si>
  <si>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</si>
  <si>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</si>
  <si>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</si>
  <si>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</si>
  <si>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</si>
  <si>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</si>
  <si>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</si>
  <si>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</si>
  <si>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</si>
  <si>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</si>
  <si>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</si>
  <si>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</si>
  <si>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</si>
  <si>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</si>
  <si>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</si>
  <si>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</si>
  <si>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</si>
  <si>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</si>
  <si>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</si>
  <si>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</si>
  <si>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</si>
  <si>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</si>
  <si>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</si>
  <si>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</si>
  <si>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</si>
  <si>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</si>
  <si>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</si>
  <si>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</si>
  <si>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</si>
  <si>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</si>
  <si>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</si>
  <si>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</si>
  <si>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</si>
  <si>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</si>
  <si>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</si>
  <si>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</si>
  <si>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</si>
  <si>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</si>
  <si>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</si>
  <si>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</si>
  <si>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</si>
  <si>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</si>
  <si>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</si>
  <si>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</si>
  <si>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</si>
  <si>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</si>
  <si>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</si>
  <si>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</si>
  <si>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</si>
  <si>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</si>
  <si>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</si>
  <si>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</si>
  <si>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</si>
  <si>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</si>
  <si>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</si>
  <si>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</si>
  <si>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</si>
  <si>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</si>
  <si>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</si>
  <si>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</si>
  <si>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</si>
  <si>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</si>
  <si>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</si>
  <si>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</si>
  <si>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</si>
  <si>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</si>
  <si>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</si>
  <si>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</si>
  <si>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</si>
  <si>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</si>
  <si>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</si>
  <si>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</si>
  <si>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</si>
  <si>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</si>
  <si>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</si>
  <si>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</si>
  <si>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</si>
  <si>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</si>
  <si>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</si>
  <si>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</si>
  <si>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</si>
  <si>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</si>
  <si>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</si>
  <si>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</si>
  <si>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</si>
  <si>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</si>
  <si>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</si>
  <si>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</si>
  <si>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</si>
  <si>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</si>
  <si>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</si>
  <si>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</si>
  <si>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</si>
  <si>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</si>
  <si>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</si>
  <si>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</si>
  <si>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</si>
  <si>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</si>
  <si>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</si>
  <si>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</si>
  <si>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</si>
  <si>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</si>
  <si>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</si>
  <si>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</si>
  <si>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</si>
  <si>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</si>
  <si>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</si>
  <si>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</si>
  <si>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</si>
  <si>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</si>
  <si>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</si>
  <si>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</si>
  <si>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</si>
  <si>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</si>
  <si>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</si>
  <si>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</si>
  <si>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</si>
  <si>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</si>
  <si>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</si>
  <si>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</si>
  <si>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</si>
  <si>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</si>
  <si>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</si>
  <si>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</si>
  <si>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</si>
  <si>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</si>
  <si>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</si>
  <si>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</si>
  <si>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</si>
  <si>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</si>
  <si>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</si>
  <si>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</si>
  <si>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</si>
  <si>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</si>
  <si>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</si>
  <si>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</si>
  <si>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</si>
  <si>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</si>
  <si>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</si>
  <si>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</si>
  <si>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</si>
  <si>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</si>
  <si>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</si>
  <si>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</si>
  <si>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</si>
  <si>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</si>
  <si>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</si>
  <si>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</si>
  <si>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</si>
  <si>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</si>
  <si>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</si>
  <si>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</si>
  <si>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</si>
  <si>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</si>
  <si>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</si>
  <si>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</si>
  <si>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</si>
  <si>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</si>
  <si>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</si>
  <si>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</si>
  <si>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</si>
  <si>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</si>
  <si>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</si>
  <si>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</si>
  <si>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</si>
  <si>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</si>
  <si>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</si>
  <si>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</si>
  <si>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</si>
  <si>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</si>
  <si>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</si>
  <si>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</si>
  <si>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</si>
  <si>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</si>
  <si>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</si>
  <si>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</si>
  <si>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</si>
  <si>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</si>
  <si>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</si>
  <si>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</si>
  <si>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</si>
  <si>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</si>
  <si>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</si>
  <si>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</si>
  <si>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</si>
  <si>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</si>
  <si>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</si>
  <si>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</si>
  <si>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</si>
  <si>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</si>
  <si>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</si>
  <si>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</si>
  <si>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</si>
  <si>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</si>
  <si>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</si>
  <si>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</si>
  <si>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</si>
  <si>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</si>
  <si>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</si>
  <si>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</si>
  <si>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</si>
  <si>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</si>
  <si>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</si>
  <si>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</si>
  <si>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</si>
  <si>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</si>
  <si>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</si>
  <si>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</si>
  <si>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</si>
  <si>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</si>
  <si>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</si>
  <si>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</si>
  <si>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</si>
  <si>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</si>
  <si>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</si>
  <si>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</si>
  <si>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</si>
  <si>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</si>
  <si>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</si>
  <si>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</si>
  <si>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</si>
  <si>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</si>
  <si>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</si>
  <si>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</si>
  <si>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</si>
  <si>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</si>
  <si>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</si>
  <si>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</si>
  <si>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</si>
  <si>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</si>
  <si>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</si>
  <si>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</si>
  <si>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</si>
  <si>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</si>
  <si>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</si>
  <si>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</si>
  <si>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</si>
  <si>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</si>
  <si>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</si>
  <si>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</si>
  <si>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</si>
  <si>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</si>
  <si>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</si>
  <si>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</si>
  <si>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</si>
  <si>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</si>
  <si>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</si>
  <si>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</si>
  <si>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</si>
  <si>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</si>
  <si>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</si>
  <si>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</si>
  <si>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</si>
  <si>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</si>
  <si>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</si>
  <si>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</si>
  <si>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</si>
  <si>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</si>
  <si>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</si>
  <si>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</si>
  <si>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</si>
  <si>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</si>
  <si>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</si>
  <si>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</si>
  <si>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</si>
  <si>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</si>
  <si>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</si>
  <si>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</si>
  <si>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</si>
  <si>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</si>
  <si>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</si>
  <si>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</si>
  <si>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</si>
  <si>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</si>
  <si>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</si>
  <si>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</si>
  <si>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</si>
  <si>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</si>
  <si>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</si>
  <si>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</si>
  <si>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</si>
  <si>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</si>
  <si>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</si>
  <si>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</si>
  <si>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</si>
  <si>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</si>
  <si>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</si>
  <si>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</si>
  <si>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</si>
  <si>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</si>
  <si>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</si>
  <si>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</si>
  <si>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</si>
  <si>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</si>
  <si>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</si>
  <si>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</si>
  <si>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</si>
  <si>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</si>
  <si>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</si>
  <si>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</si>
  <si>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</si>
  <si>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</si>
  <si>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</si>
  <si>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</si>
  <si>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</si>
  <si>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</si>
  <si>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</si>
  <si>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</si>
  <si>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</si>
  <si>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</si>
  <si>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</si>
  <si>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</si>
  <si>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</si>
  <si>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</si>
  <si>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</si>
  <si>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</si>
  <si>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</si>
  <si>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</si>
  <si>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</si>
  <si>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</si>
  <si>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</si>
  <si>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</si>
  <si>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</si>
  <si>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</si>
  <si>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</si>
  <si>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</si>
  <si>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</si>
  <si>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</si>
  <si>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</si>
  <si>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</si>
  <si>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</si>
  <si>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</si>
  <si>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</si>
  <si>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</si>
  <si>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</si>
  <si>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</si>
  <si>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</si>
  <si>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</si>
  <si>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</si>
  <si>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</si>
  <si>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</si>
  <si>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</si>
  <si>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</si>
  <si>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</si>
  <si>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</si>
  <si>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</si>
  <si>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</si>
  <si>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</si>
  <si>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</si>
  <si>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</si>
  <si>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</si>
  <si>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</si>
  <si>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</si>
  <si>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</si>
  <si>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</si>
  <si>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</si>
  <si>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</si>
  <si>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</si>
  <si>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</si>
  <si>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</si>
  <si>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</si>
  <si>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</si>
  <si>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</si>
  <si>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</si>
  <si>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</si>
  <si>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</si>
  <si>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</si>
  <si>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</si>
  <si>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</si>
  <si>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</si>
  <si>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</si>
  <si>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</si>
  <si>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</si>
  <si>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</si>
  <si>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</si>
  <si>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</si>
  <si>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</si>
  <si>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</si>
  <si>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</si>
  <si>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</si>
  <si>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</si>
  <si>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</si>
  <si>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</si>
  <si>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</si>
  <si>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</si>
  <si>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</si>
  <si>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</si>
  <si>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</si>
  <si>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</si>
  <si>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</si>
  <si>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</si>
  <si>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</si>
  <si>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</si>
  <si>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</si>
  <si>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</si>
  <si>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</si>
  <si>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</si>
  <si>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</si>
  <si>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</si>
  <si>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</si>
  <si>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</si>
  <si>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</si>
  <si>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</si>
  <si>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</si>
  <si>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</si>
  <si>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</si>
  <si>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</si>
  <si>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</si>
  <si>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</si>
  <si>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</si>
  <si>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</si>
  <si>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</si>
  <si>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</si>
  <si>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</si>
  <si>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</si>
  <si>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</si>
  <si>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</si>
  <si>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</si>
  <si>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</si>
  <si>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</si>
  <si>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</si>
  <si>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</si>
  <si>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</si>
  <si>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</si>
  <si>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</si>
  <si>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</si>
  <si>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</si>
  <si>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</si>
  <si>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</si>
  <si>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</si>
  <si>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</si>
  <si>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</si>
  <si>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</si>
  <si>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</si>
  <si>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</si>
  <si>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</si>
  <si>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</si>
  <si>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</si>
  <si>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</si>
  <si>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</si>
  <si>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</si>
  <si>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</si>
  <si>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</si>
  <si>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</si>
  <si>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</si>
  <si>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</si>
  <si>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</si>
  <si>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</si>
  <si>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</si>
  <si>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</si>
  <si>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</si>
  <si>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</si>
  <si>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</si>
  <si>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</si>
  <si>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</si>
  <si>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</si>
  <si>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</si>
  <si>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</si>
  <si>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</si>
  <si>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</si>
  <si>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</si>
  <si>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</si>
  <si>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</si>
  <si>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</si>
  <si>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</si>
  <si>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</si>
  <si>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</si>
  <si>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</si>
  <si>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</si>
  <si>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</si>
  <si>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</si>
  <si>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</si>
  <si>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</si>
  <si>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</si>
  <si>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</si>
  <si>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</si>
  <si>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</si>
  <si>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</si>
  <si>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</si>
  <si>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</si>
  <si>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</si>
  <si>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</si>
  <si>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</si>
  <si>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</si>
  <si>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</si>
  <si>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</si>
  <si>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</si>
  <si>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</si>
  <si>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</si>
  <si>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</si>
  <si>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</si>
  <si>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</si>
  <si>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</si>
  <si>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</si>
  <si>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</si>
  <si>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</si>
  <si>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</si>
  <si>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</si>
  <si>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</si>
  <si>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</si>
  <si>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</si>
  <si>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</si>
  <si>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</si>
  <si>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</si>
  <si>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</si>
  <si>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</si>
  <si>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</si>
  <si>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</si>
  <si>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</si>
  <si>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</si>
  <si>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</si>
  <si>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</si>
  <si>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</si>
  <si>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</si>
  <si>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</si>
  <si>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</si>
  <si>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</si>
  <si>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</si>
  <si>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</si>
  <si>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</si>
  <si>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</si>
  <si>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</si>
  <si>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</si>
  <si>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</si>
  <si>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</si>
  <si>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</si>
  <si>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</si>
  <si>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</si>
  <si>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</si>
  <si>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</si>
  <si>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</si>
  <si>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</si>
  <si>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</si>
  <si>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</si>
  <si>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</si>
  <si>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</si>
  <si>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</si>
  <si>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</si>
  <si>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</si>
  <si>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</si>
  <si>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</si>
  <si>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</si>
  <si>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</si>
  <si>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</si>
  <si>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</si>
  <si>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</si>
  <si>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</si>
  <si>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</si>
  <si>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</si>
  <si>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</si>
  <si>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</si>
  <si>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</si>
  <si>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</si>
  <si>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</si>
  <si>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</si>
  <si>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</si>
  <si>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</si>
  <si>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</si>
  <si>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</si>
  <si>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</si>
  <si>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</si>
  <si>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</si>
  <si>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</si>
  <si>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</si>
  <si>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</si>
  <si>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</si>
  <si>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</si>
  <si>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</si>
  <si>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</si>
  <si>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</si>
  <si>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</si>
  <si>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</si>
  <si>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</si>
  <si>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</si>
  <si>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</si>
  <si>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</si>
  <si>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</si>
  <si>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</si>
  <si>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</si>
  <si>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</si>
  <si>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</si>
  <si>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</si>
  <si>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</si>
  <si>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</si>
  <si>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</si>
  <si>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</si>
  <si>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</si>
  <si>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</si>
  <si>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</si>
  <si>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</si>
  <si>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</si>
  <si>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</si>
  <si>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</si>
  <si>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</si>
  <si>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</si>
  <si>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</si>
  <si>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</si>
  <si>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</si>
  <si>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</si>
  <si>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</si>
  <si>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</si>
  <si>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</si>
  <si>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</si>
  <si>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</si>
  <si>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</si>
  <si>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</si>
  <si>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</si>
  <si>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</si>
  <si>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</si>
  <si>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</si>
  <si>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</si>
  <si>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</si>
  <si>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</si>
  <si>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</si>
  <si>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</si>
  <si>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</si>
  <si>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</si>
  <si>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</si>
  <si>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</si>
  <si>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</si>
  <si>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</si>
  <si>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</si>
  <si>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</si>
  <si>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</si>
  <si>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</si>
  <si>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</si>
  <si>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</si>
  <si>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</si>
  <si>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</si>
  <si>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</si>
  <si>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</si>
  <si>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</si>
  <si>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</si>
  <si>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</si>
  <si>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</si>
  <si>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</si>
  <si>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</si>
  <si>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</si>
  <si>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</si>
  <si>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</si>
  <si>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</si>
  <si>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</si>
  <si>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</si>
  <si>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</si>
  <si>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</si>
  <si>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</si>
  <si>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</si>
  <si>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</si>
  <si>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</si>
  <si>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</si>
  <si>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</si>
  <si>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</si>
  <si>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</si>
  <si>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</si>
  <si>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</si>
  <si>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</si>
  <si>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</si>
  <si>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</si>
  <si>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</si>
  <si>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</si>
  <si>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</si>
  <si>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</si>
  <si>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</si>
  <si>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</si>
  <si>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</si>
  <si>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</si>
  <si>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</si>
  <si>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</si>
  <si>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</si>
  <si>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</si>
  <si>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</si>
  <si>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</si>
  <si>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</si>
  <si>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</si>
  <si>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</si>
  <si>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</si>
  <si>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</si>
  <si>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</si>
  <si>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</si>
  <si>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</si>
  <si>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</si>
  <si>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</si>
  <si>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</si>
  <si>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</si>
  <si>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</si>
  <si>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</si>
  <si>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</si>
  <si>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</si>
  <si>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</si>
  <si>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</si>
  <si>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</si>
  <si>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</si>
  <si>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</si>
  <si>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</si>
  <si>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</si>
  <si>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</si>
  <si>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</si>
  <si>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</si>
  <si>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</si>
  <si>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</si>
  <si>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</si>
  <si>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</si>
  <si>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</si>
  <si>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</si>
  <si>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</si>
  <si>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</si>
  <si>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</si>
  <si>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</si>
  <si>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</si>
  <si>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</si>
  <si>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</si>
  <si>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</si>
  <si>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</si>
  <si>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</si>
  <si>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</si>
  <si>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</si>
  <si>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</si>
  <si>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</si>
  <si>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</si>
  <si>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</si>
  <si>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</si>
  <si>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</si>
  <si>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</si>
  <si>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</si>
  <si>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</si>
  <si>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</si>
  <si>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</si>
  <si>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</si>
  <si>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</si>
  <si>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</si>
  <si>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</si>
  <si>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</si>
  <si>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</si>
  <si>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</si>
  <si>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</si>
  <si>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</si>
  <si>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</si>
  <si>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</si>
  <si>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</si>
  <si>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</si>
  <si>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</si>
  <si>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</si>
  <si>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</si>
  <si>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</si>
  <si>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</si>
  <si>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</si>
  <si>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</si>
  <si>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</si>
  <si>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</si>
  <si>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</si>
  <si>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</si>
  <si>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</si>
  <si>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</si>
  <si>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</si>
  <si>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</si>
  <si>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</si>
  <si>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</si>
  <si>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</si>
  <si>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</si>
  <si>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</si>
  <si>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</si>
  <si>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</si>
  <si>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</si>
  <si>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</si>
  <si>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</si>
  <si>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</si>
  <si>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</si>
  <si>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</si>
  <si>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</si>
  <si>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</si>
  <si>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</si>
  <si>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</si>
  <si>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</si>
  <si>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</si>
  <si>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</si>
  <si>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</si>
  <si>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</si>
  <si>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</si>
  <si>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</si>
  <si>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</si>
  <si>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</si>
  <si>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</si>
  <si>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</si>
  <si>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</si>
  <si>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</si>
  <si>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</si>
  <si>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</si>
  <si>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</si>
  <si>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</si>
  <si>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</si>
  <si>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</si>
  <si>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</si>
  <si>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</si>
  <si>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</si>
  <si>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</si>
  <si>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</si>
  <si>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</si>
  <si>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</si>
  <si>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</si>
  <si>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</si>
  <si>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</si>
  <si>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</si>
  <si>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</si>
  <si>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</si>
  <si>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</si>
  <si>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</si>
  <si>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</si>
  <si>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</si>
  <si>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</si>
  <si>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</si>
  <si>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</si>
  <si>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</si>
  <si>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</si>
  <si>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</si>
  <si>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</si>
  <si>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</si>
  <si>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</si>
  <si>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</si>
  <si>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</si>
  <si>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</si>
  <si>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</si>
  <si>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</si>
  <si>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</si>
  <si>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</si>
  <si>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</si>
  <si>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</si>
  <si>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</si>
  <si>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</si>
  <si>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</si>
  <si>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</si>
  <si>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</si>
  <si>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</si>
  <si>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</si>
  <si>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</si>
  <si>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</si>
  <si>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</si>
  <si>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</si>
  <si>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</si>
  <si>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</si>
  <si>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</si>
  <si>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</si>
  <si>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</si>
  <si>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</si>
  <si>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</si>
  <si>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</si>
  <si>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</si>
  <si>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</si>
  <si>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</si>
  <si>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</si>
  <si>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</si>
  <si>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</si>
  <si>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</si>
  <si>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</si>
  <si>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</si>
  <si>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</si>
  <si>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</si>
  <si>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</si>
  <si>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</si>
  <si>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</si>
  <si>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</si>
  <si>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</si>
  <si>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</si>
  <si>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</si>
  <si>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</si>
  <si>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</si>
  <si>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</si>
  <si>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</si>
  <si>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</si>
  <si>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</si>
  <si>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</si>
  <si>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</si>
  <si>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</si>
  <si>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</si>
  <si>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</si>
  <si>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</si>
  <si>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</si>
  <si>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</si>
  <si>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</si>
  <si>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</si>
  <si>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</si>
  <si>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</si>
  <si>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</si>
  <si>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</si>
  <si>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</si>
  <si>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</si>
  <si>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</si>
  <si>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</si>
  <si>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</si>
  <si>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</si>
  <si>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</si>
  <si>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</si>
  <si>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</si>
  <si>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</si>
  <si>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</si>
  <si>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</si>
  <si>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</si>
  <si>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</si>
  <si>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</si>
  <si>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</si>
  <si>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</si>
  <si>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</si>
  <si>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</si>
  <si>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</si>
  <si>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</si>
  <si>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</si>
  <si>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</si>
  <si>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</si>
  <si>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</si>
  <si>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</si>
  <si>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</si>
  <si>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</si>
  <si>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</si>
  <si>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</si>
  <si>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</si>
  <si>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</si>
  <si>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</si>
  <si>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</si>
  <si>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</si>
  <si>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</si>
  <si>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</si>
  <si>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</si>
  <si>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</si>
  <si>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</si>
  <si>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</si>
  <si>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</si>
  <si>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</si>
  <si>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</si>
  <si>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</si>
  <si>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</si>
  <si>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</si>
  <si>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</si>
  <si>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</si>
  <si>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</si>
  <si>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</si>
  <si>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</si>
  <si>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</si>
  <si>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</si>
  <si>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</si>
  <si>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</si>
  <si>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</si>
  <si>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</si>
  <si>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</si>
  <si>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</si>
  <si>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</si>
  <si>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</si>
  <si>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</si>
  <si>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</si>
  <si>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</si>
  <si>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</si>
  <si>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</si>
  <si>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</si>
  <si>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</si>
  <si>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</si>
  <si>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</si>
  <si>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</si>
  <si>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</si>
  <si>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</si>
  <si>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</si>
  <si>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</si>
  <si>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</si>
  <si>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</si>
  <si>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</si>
  <si>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</si>
  <si>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</si>
  <si>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</si>
  <si>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</si>
  <si>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</si>
  <si>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</si>
  <si>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</si>
  <si>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</si>
  <si>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</si>
  <si>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</si>
  <si>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</si>
  <si>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</si>
  <si>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</si>
  <si>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</si>
  <si>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</si>
  <si>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</si>
  <si>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</si>
  <si>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</si>
  <si>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</si>
  <si>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</si>
  <si>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</si>
  <si>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</si>
  <si>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</si>
  <si>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</si>
  <si>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</si>
  <si>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</si>
  <si>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</si>
  <si>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</si>
  <si>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</si>
  <si>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</si>
  <si>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</si>
  <si>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</si>
  <si>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</si>
  <si>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</si>
  <si>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</si>
  <si>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</si>
  <si>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</si>
  <si>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</si>
  <si>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</si>
  <si>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</si>
  <si>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</si>
  <si>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</si>
  <si>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</si>
  <si>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</si>
  <si>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</si>
  <si>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</si>
  <si>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</si>
  <si>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</si>
  <si>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</si>
  <si>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</si>
  <si>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</si>
  <si>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</si>
  <si>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</si>
  <si>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</si>
  <si>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</si>
  <si>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</si>
  <si>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</si>
  <si>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</si>
  <si>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</si>
  <si>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</si>
  <si>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</si>
  <si>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</si>
  <si>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</si>
  <si>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</si>
  <si>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</si>
  <si>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</si>
  <si>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</si>
  <si>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</si>
  <si>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</si>
  <si>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</si>
  <si>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</si>
  <si>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</si>
  <si>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</si>
  <si>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</si>
  <si>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</si>
  <si>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</si>
  <si>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</si>
  <si>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</si>
  <si>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</si>
  <si>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</si>
  <si>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</si>
  <si>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</si>
  <si>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</si>
  <si>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</si>
  <si>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</si>
  <si>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</si>
  <si>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</si>
  <si>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</si>
  <si>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</si>
  <si>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</si>
  <si>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</si>
  <si>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</si>
  <si>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</si>
  <si>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</si>
  <si>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</si>
  <si>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</si>
  <si>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</si>
  <si>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</si>
  <si>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</si>
  <si>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</si>
  <si>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</si>
  <si>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</si>
  <si>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</si>
  <si>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</si>
  <si>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</si>
  <si>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</si>
  <si>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</si>
  <si>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</si>
  <si>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</si>
  <si>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</si>
  <si>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</si>
  <si>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</si>
  <si>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</si>
  <si>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</si>
  <si>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</si>
  <si>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</si>
  <si>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</si>
  <si>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</si>
  <si>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</si>
  <si>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</si>
  <si>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</si>
  <si>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</si>
  <si>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</si>
  <si>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</si>
  <si>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</si>
  <si>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</si>
  <si>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</si>
  <si>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</si>
  <si>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</si>
  <si>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</si>
  <si>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</si>
  <si>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</si>
  <si>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</si>
  <si>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</si>
  <si>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</si>
  <si>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</si>
  <si>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</si>
  <si>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</si>
  <si>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</si>
  <si>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</si>
  <si>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</si>
  <si>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</si>
  <si>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</si>
  <si>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</si>
  <si>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</si>
  <si>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</si>
  <si>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</si>
  <si>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</si>
  <si>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</si>
  <si>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</si>
  <si>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</si>
  <si>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</si>
  <si>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</si>
  <si>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</si>
  <si>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</si>
  <si>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</si>
  <si>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</si>
  <si>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</si>
  <si>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</si>
  <si>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</si>
  <si>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</si>
  <si>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</si>
  <si>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</si>
  <si>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</si>
  <si>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</si>
  <si>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</si>
  <si>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</si>
  <si>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</si>
  <si>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</si>
  <si>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</si>
  <si>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</si>
  <si>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</si>
  <si>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</si>
  <si>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</si>
  <si>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</si>
  <si>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</si>
  <si>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</si>
  <si>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</si>
  <si>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</si>
  <si>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</si>
  <si>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</si>
  <si>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</si>
  <si>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</si>
  <si>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</si>
  <si>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</si>
  <si>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</si>
  <si>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</si>
  <si>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</si>
  <si>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</si>
  <si>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</si>
  <si>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</si>
  <si>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</si>
  <si>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</si>
  <si>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</si>
  <si>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</si>
  <si>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</si>
  <si>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</si>
  <si>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</si>
  <si>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</si>
  <si>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</si>
  <si>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</si>
  <si>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</si>
  <si>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</si>
  <si>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</si>
  <si>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</si>
  <si>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</si>
  <si>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</si>
  <si>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</si>
  <si>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</si>
  <si>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</si>
  <si>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</si>
  <si>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</si>
  <si>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</si>
  <si>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</si>
  <si>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</si>
  <si>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</si>
  <si>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</si>
  <si>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</si>
  <si>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</si>
  <si>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</si>
  <si>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</si>
  <si>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</si>
  <si>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</si>
  <si>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</si>
  <si>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</si>
  <si>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</si>
  <si>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</si>
  <si>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</si>
  <si>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</si>
  <si>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</si>
  <si>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</si>
  <si>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</si>
  <si>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</si>
  <si>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</si>
  <si>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</si>
  <si>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</si>
  <si>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</si>
  <si>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</si>
  <si>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</si>
  <si>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</si>
  <si>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</si>
  <si>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</si>
  <si>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</si>
  <si>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</si>
  <si>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</si>
  <si>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</si>
  <si>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</si>
  <si>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</si>
  <si>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</si>
  <si>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</si>
  <si>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</si>
  <si>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</si>
  <si>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</si>
  <si>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</si>
  <si>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</si>
  <si>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</si>
  <si>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</si>
  <si>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</si>
  <si>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</si>
  <si>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</si>
  <si>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</si>
  <si>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</si>
  <si>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</si>
  <si>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</si>
  <si>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</si>
  <si>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</si>
  <si>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</si>
  <si>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</si>
  <si>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</si>
  <si>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</si>
  <si>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</si>
  <si>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</si>
  <si>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</si>
  <si>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</si>
  <si>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</si>
  <si>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</si>
  <si>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</si>
  <si>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</si>
  <si>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</si>
  <si>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</si>
  <si>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</si>
  <si>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</si>
  <si>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</si>
  <si>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</si>
  <si>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</si>
  <si>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</si>
  <si>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</si>
  <si>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</si>
  <si>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</si>
  <si>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</si>
  <si>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</si>
  <si>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</si>
  <si>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</si>
  <si>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</si>
  <si>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</si>
  <si>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</si>
  <si>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</si>
  <si>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</si>
  <si>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</si>
  <si>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</si>
  <si>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</si>
  <si>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</si>
  <si>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</si>
  <si>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</si>
  <si>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</si>
  <si>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</si>
  <si>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</si>
  <si>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</si>
  <si>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</si>
  <si>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</si>
  <si>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</si>
  <si>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</si>
  <si>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</si>
  <si>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</si>
  <si>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</si>
  <si>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</si>
  <si>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</si>
  <si>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</si>
  <si>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</si>
  <si>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</si>
  <si>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</si>
  <si>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</si>
  <si>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</si>
  <si>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</si>
  <si>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</si>
  <si>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</si>
  <si>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</si>
  <si>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</si>
  <si>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</si>
  <si>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</si>
  <si>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</si>
  <si>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</si>
  <si>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</si>
  <si>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</si>
  <si>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</si>
  <si>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</si>
  <si>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</si>
  <si>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</si>
  <si>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</si>
  <si>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</si>
  <si>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</si>
  <si>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</si>
  <si>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</si>
  <si>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</si>
  <si>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</si>
  <si>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</si>
  <si>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</si>
  <si>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</si>
  <si>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</si>
  <si>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</si>
  <si>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</si>
  <si>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</si>
  <si>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</si>
  <si>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</si>
  <si>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</si>
  <si>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</si>
  <si>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</si>
  <si>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</si>
  <si>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</si>
  <si>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</si>
  <si>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</si>
  <si>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</si>
  <si>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</si>
  <si>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</si>
  <si>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</si>
  <si>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</si>
  <si>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</si>
  <si>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</si>
  <si>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</si>
  <si>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</si>
  <si>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</si>
  <si>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</si>
  <si>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</si>
  <si>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</si>
  <si>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</si>
  <si>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</si>
  <si>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</si>
  <si>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</si>
  <si>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</si>
  <si>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</si>
  <si>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</si>
  <si>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</si>
  <si>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</si>
  <si>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</si>
  <si>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</si>
  <si>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</si>
  <si>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</si>
  <si>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</si>
  <si>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</si>
  <si>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</si>
  <si>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</si>
  <si>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</si>
  <si>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</si>
  <si>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</si>
  <si>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</si>
  <si>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</si>
  <si>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</si>
  <si>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</si>
  <si>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</si>
  <si>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</si>
  <si>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</si>
  <si>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</si>
  <si>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</si>
  <si>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</si>
  <si>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</si>
  <si>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</si>
  <si>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</si>
  <si>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</si>
  <si>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</si>
  <si>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</si>
  <si>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</si>
  <si>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</si>
  <si>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</si>
  <si>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</si>
  <si>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</si>
  <si>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</si>
  <si>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</si>
  <si>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</si>
  <si>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</si>
  <si>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</si>
  <si>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</si>
  <si>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</si>
  <si>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</si>
  <si>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</si>
  <si>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</si>
  <si>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</si>
  <si>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</si>
  <si>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</si>
  <si>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</si>
  <si>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</si>
  <si>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</si>
  <si>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</si>
  <si>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</si>
  <si>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</si>
  <si>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</si>
  <si>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</si>
  <si>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</si>
  <si>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</si>
  <si>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</si>
  <si>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</si>
  <si>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</si>
  <si>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</si>
  <si>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</si>
  <si>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</si>
  <si>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</si>
  <si>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</si>
  <si>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</si>
  <si>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</si>
  <si>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</si>
  <si>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</si>
  <si>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</si>
  <si>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</si>
  <si>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</si>
  <si>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</si>
  <si>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</si>
  <si>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</si>
  <si>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</si>
  <si>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</si>
  <si>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</si>
  <si>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</si>
  <si>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</si>
  <si>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</si>
  <si>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</si>
  <si>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</si>
  <si>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</si>
  <si>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</si>
  <si>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</si>
  <si>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</si>
  <si>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</si>
  <si>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</si>
  <si>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</si>
  <si>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</si>
  <si>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</si>
  <si>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</si>
  <si>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</si>
  <si>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</si>
  <si>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</si>
  <si>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</si>
  <si>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</si>
  <si>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</si>
  <si>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</si>
  <si>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</si>
  <si>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</si>
  <si>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</si>
  <si>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</si>
  <si>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</si>
  <si>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</si>
  <si>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</si>
  <si>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</si>
  <si>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</si>
  <si>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</si>
  <si>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</si>
  <si>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</si>
  <si>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</si>
  <si>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</si>
  <si>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</si>
  <si>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</si>
  <si>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</si>
  <si>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</si>
  <si>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</si>
  <si>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</si>
  <si>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</si>
  <si>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</si>
  <si>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</si>
  <si>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</si>
  <si>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</si>
  <si>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</si>
  <si>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</si>
  <si>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</si>
  <si>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</si>
  <si>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</si>
  <si>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</si>
  <si>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</si>
  <si>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</si>
  <si>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</si>
  <si>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</si>
  <si>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</si>
  <si>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</si>
  <si>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</si>
  <si>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</si>
  <si>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</si>
  <si>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</si>
  <si>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</si>
  <si>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</si>
  <si>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</si>
  <si>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</si>
  <si>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</si>
  <si>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</si>
  <si>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</si>
  <si>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</si>
  <si>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</si>
  <si>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</si>
  <si>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</si>
  <si>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</si>
  <si>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</si>
  <si>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</si>
  <si>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</si>
  <si>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</si>
  <si>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</si>
  <si>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</si>
  <si>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</si>
  <si>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</si>
  <si>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</si>
  <si>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</si>
  <si>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</si>
  <si>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</si>
  <si>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</si>
  <si>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</si>
  <si>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</si>
  <si>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</si>
  <si>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</si>
  <si>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</si>
  <si>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</si>
  <si>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</si>
  <si>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</si>
  <si>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</si>
  <si>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</si>
  <si>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</si>
  <si>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</si>
  <si>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</si>
  <si>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</si>
  <si>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</si>
  <si>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</si>
  <si>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</si>
  <si>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</si>
  <si>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</si>
  <si>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</si>
  <si>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</si>
  <si>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</si>
  <si>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</si>
  <si>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</si>
  <si>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</si>
  <si>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</si>
  <si>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</si>
  <si>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</si>
  <si>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</si>
  <si>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</si>
  <si>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</si>
  <si>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</si>
  <si>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</si>
  <si>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</si>
  <si>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</si>
  <si>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</si>
  <si>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</si>
  <si>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</si>
  <si>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</si>
  <si>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</si>
  <si>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</si>
  <si>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</si>
  <si>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</si>
  <si>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</si>
  <si>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</si>
  <si>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</si>
  <si>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</si>
  <si>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</si>
  <si>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</si>
  <si>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</si>
  <si>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</si>
  <si>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</si>
  <si>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</si>
  <si>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</si>
  <si>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</si>
  <si>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</si>
  <si>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</si>
  <si>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</si>
  <si>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</si>
  <si>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</si>
  <si>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</si>
  <si>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</si>
  <si>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</si>
  <si>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</si>
  <si>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</si>
  <si>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</si>
  <si>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</si>
  <si>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</si>
  <si>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</si>
  <si>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</si>
  <si>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</si>
  <si>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</si>
  <si>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</si>
  <si>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</si>
  <si>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</si>
  <si>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</si>
  <si>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</si>
  <si>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</si>
  <si>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</si>
  <si>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</si>
  <si>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</si>
  <si>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</si>
  <si>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</si>
  <si>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</si>
  <si>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</si>
  <si>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</si>
  <si>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</si>
  <si>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</si>
  <si>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</si>
  <si>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</si>
  <si>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</si>
  <si>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</si>
  <si>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</si>
  <si>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</si>
  <si>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</si>
  <si>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</si>
  <si>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</si>
  <si>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</si>
  <si>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</si>
  <si>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</si>
  <si>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</si>
  <si>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</si>
  <si>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</si>
  <si>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</si>
  <si>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</si>
  <si>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</si>
  <si>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</si>
  <si>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</si>
  <si>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</si>
  <si>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</si>
  <si>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</si>
  <si>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</si>
  <si>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</si>
  <si>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</si>
  <si>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</si>
  <si>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</si>
  <si>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</si>
  <si>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</si>
  <si>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</si>
  <si>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</si>
  <si>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</si>
  <si>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</si>
  <si>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</si>
  <si>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</si>
  <si>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</si>
  <si>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</si>
  <si>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</si>
  <si>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</si>
  <si>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</si>
  <si>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</si>
  <si>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</si>
  <si>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</si>
  <si>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</si>
  <si>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</si>
  <si>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</si>
  <si>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</si>
  <si>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</si>
  <si>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</si>
  <si>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</si>
  <si>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</si>
  <si>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</si>
  <si>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</si>
  <si>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</si>
  <si>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</si>
  <si>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</si>
  <si>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</si>
  <si>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</si>
  <si>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</si>
  <si>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</si>
  <si>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</si>
  <si>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</si>
  <si>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</si>
  <si>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</si>
  <si>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</si>
  <si>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</si>
  <si>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</si>
  <si>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</si>
  <si>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</si>
  <si>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</si>
  <si>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</si>
  <si>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</si>
  <si>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</si>
  <si>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</si>
  <si>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</si>
  <si>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</si>
  <si>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</si>
  <si>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</si>
  <si>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</si>
  <si>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</si>
  <si>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</si>
  <si>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</si>
  <si>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</si>
  <si>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</si>
  <si>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</si>
  <si>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</si>
  <si>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</si>
  <si>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</si>
  <si>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</si>
  <si>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</si>
  <si>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</si>
  <si>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</si>
  <si>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</si>
  <si>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</si>
  <si>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</si>
  <si>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</si>
  <si>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</si>
  <si>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</si>
  <si>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</si>
  <si>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</si>
  <si>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</si>
  <si>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</si>
  <si>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</si>
  <si>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</si>
  <si>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</si>
  <si>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</si>
  <si>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</si>
  <si>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</si>
  <si>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</si>
  <si>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</si>
  <si>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</si>
  <si>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</si>
  <si>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</si>
  <si>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</si>
  <si>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</si>
  <si>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</si>
  <si>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</si>
  <si>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</si>
  <si>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</si>
  <si>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</si>
  <si>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</si>
  <si>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</si>
  <si>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</si>
  <si>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</si>
  <si>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</si>
  <si>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</si>
  <si>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</si>
  <si>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</si>
  <si>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</si>
  <si>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</si>
  <si>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</si>
  <si>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</si>
  <si>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</si>
  <si>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</si>
  <si>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</si>
  <si>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</si>
  <si>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</si>
  <si>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</si>
  <si>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</si>
  <si>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</si>
  <si>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</si>
  <si>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</si>
  <si>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</si>
  <si>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</si>
  <si>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</si>
  <si>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</si>
  <si>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</si>
  <si>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</si>
  <si>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</si>
  <si>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</si>
  <si>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</si>
  <si>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</si>
  <si>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</si>
  <si>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</si>
  <si>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</si>
  <si>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</si>
  <si>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</si>
  <si>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</si>
  <si>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</si>
  <si>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</si>
  <si>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</si>
  <si>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</si>
  <si>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</si>
  <si>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</si>
  <si>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</si>
  <si>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</si>
  <si>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</si>
  <si>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</si>
  <si>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</si>
  <si>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</si>
  <si>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</si>
  <si>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</si>
  <si>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</si>
  <si>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</si>
  <si>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</si>
  <si>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</si>
  <si>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</si>
  <si>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</si>
  <si>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</si>
  <si>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</si>
  <si>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</si>
  <si>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</si>
  <si>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</si>
  <si>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</si>
  <si>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</si>
  <si>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</si>
  <si>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</si>
  <si>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</si>
  <si>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</si>
  <si>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</si>
  <si>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</si>
  <si>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</si>
  <si>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</si>
  <si>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</si>
  <si>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</si>
  <si>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</si>
  <si>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</si>
  <si>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</si>
  <si>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</si>
  <si>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</si>
  <si>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</si>
  <si>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</si>
  <si>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</si>
  <si>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</si>
  <si>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</si>
  <si>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</si>
  <si>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</si>
  <si>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</si>
  <si>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</si>
  <si>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</si>
  <si>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</si>
  <si>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</si>
  <si>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</si>
  <si>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</si>
  <si>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</si>
  <si>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</si>
  <si>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</si>
  <si>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</si>
  <si>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</si>
  <si>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</si>
  <si>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</si>
  <si>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</si>
  <si>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</si>
  <si>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</si>
  <si>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</si>
  <si>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</si>
  <si>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</si>
  <si>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</si>
  <si>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</si>
  <si>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</si>
  <si>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</si>
  <si>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</si>
  <si>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</si>
  <si>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</si>
  <si>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</si>
  <si>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</si>
  <si>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</si>
  <si>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</si>
  <si>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</si>
  <si>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</si>
  <si>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</si>
  <si>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</si>
  <si>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</si>
  <si>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</si>
  <si>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</si>
  <si>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</si>
  <si>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</si>
  <si>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</si>
  <si>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</si>
  <si>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</si>
  <si>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</si>
  <si>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</si>
  <si>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</si>
  <si>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</si>
  <si>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</si>
  <si>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</si>
  <si>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</si>
  <si>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</si>
  <si>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</si>
  <si>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</si>
  <si>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</si>
  <si>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</si>
  <si>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</si>
  <si>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</si>
  <si>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</si>
  <si>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</si>
  <si>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</si>
  <si>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</si>
  <si>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</si>
  <si>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</si>
  <si>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</si>
  <si>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</si>
  <si>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</si>
  <si>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</si>
  <si>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</si>
  <si>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</si>
  <si>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</si>
  <si>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</si>
  <si>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</si>
  <si>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</si>
  <si>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</si>
  <si>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</si>
  <si>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</si>
  <si>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</si>
  <si>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</si>
  <si>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</si>
  <si>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</si>
  <si>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</si>
  <si>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</si>
  <si>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</si>
  <si>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</si>
  <si>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</si>
  <si>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</si>
  <si>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</si>
  <si>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</si>
  <si>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</si>
  <si>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</si>
  <si>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</si>
  <si>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</si>
  <si>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</si>
  <si>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</si>
  <si>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</si>
  <si>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</si>
  <si>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</si>
  <si>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</si>
  <si>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</si>
  <si>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</si>
  <si>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</si>
  <si>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</si>
  <si>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</si>
  <si>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</si>
  <si>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</si>
  <si>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</si>
  <si>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</si>
  <si>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</si>
  <si>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</si>
  <si>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</si>
  <si>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</si>
  <si>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</si>
  <si>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</si>
  <si>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</si>
  <si>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</si>
  <si>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</si>
  <si>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</si>
  <si>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</si>
  <si>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</si>
  <si>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</si>
  <si>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</si>
  <si>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</si>
  <si>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</si>
  <si>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</si>
  <si>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</si>
  <si>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</si>
  <si>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</si>
  <si>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</si>
  <si>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</si>
  <si>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</si>
  <si>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</si>
  <si>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</si>
  <si>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</si>
  <si>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</si>
  <si>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</si>
  <si>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</si>
  <si>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</si>
  <si>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</si>
  <si>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</si>
  <si>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</si>
  <si>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</si>
  <si>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</si>
  <si>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</si>
  <si>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</si>
  <si>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</si>
  <si>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</si>
  <si>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</si>
  <si>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</si>
  <si>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</si>
  <si>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</si>
  <si>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</si>
  <si>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</si>
  <si>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</si>
  <si>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</si>
  <si>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</si>
  <si>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</si>
  <si>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</si>
  <si>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</si>
  <si>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</si>
  <si>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</si>
  <si>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</si>
  <si>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</si>
  <si>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</si>
  <si>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</si>
  <si>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</si>
  <si>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</si>
  <si>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</si>
  <si>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</si>
  <si>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</si>
  <si>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</si>
  <si>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</si>
  <si>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</si>
  <si>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</si>
  <si>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</si>
  <si>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</si>
  <si>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</si>
  <si>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</si>
  <si>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</si>
  <si>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</si>
  <si>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</si>
  <si>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</si>
  <si>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</si>
  <si>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</si>
  <si>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</si>
  <si>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</si>
  <si>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</si>
  <si>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</si>
  <si>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</si>
  <si>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</si>
  <si>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</si>
  <si>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</si>
  <si>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</si>
  <si>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</si>
  <si>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</si>
  <si>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</si>
  <si>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</si>
  <si>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</si>
  <si>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</si>
  <si>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</si>
  <si>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</si>
  <si>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</si>
  <si>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</si>
  <si>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</si>
  <si>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</si>
  <si>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</si>
  <si>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</si>
  <si>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</si>
  <si>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</si>
  <si>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</si>
  <si>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</si>
  <si>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</si>
  <si>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</si>
  <si>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</si>
  <si>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</si>
  <si>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</si>
  <si>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</si>
  <si>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</si>
  <si>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</si>
  <si>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</si>
  <si>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</si>
  <si>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</si>
  <si>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</si>
  <si>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</si>
  <si>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</si>
  <si>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</si>
  <si>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</si>
  <si>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</si>
  <si>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</si>
  <si>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</si>
  <si>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</si>
  <si>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</si>
  <si>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</si>
  <si>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</si>
  <si>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</si>
  <si>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</si>
  <si>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</si>
  <si>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</si>
  <si>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</si>
  <si>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</si>
  <si>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</si>
  <si>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</si>
  <si>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</si>
  <si>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</si>
  <si>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</si>
  <si>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</si>
  <si>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</si>
  <si>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</si>
  <si>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</si>
  <si>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</si>
  <si>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</si>
  <si>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</si>
  <si>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</si>
  <si>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</si>
  <si>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</si>
  <si>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</si>
  <si>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</si>
  <si>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</si>
  <si>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</si>
  <si>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</si>
  <si>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</si>
  <si>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</si>
  <si>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</si>
  <si>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</si>
  <si>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</si>
  <si>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</si>
  <si>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</si>
  <si>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</si>
  <si>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</si>
  <si>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</si>
  <si>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</si>
  <si>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</si>
  <si>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</si>
  <si>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</si>
  <si>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</si>
  <si>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</si>
  <si>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</si>
  <si>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</si>
  <si>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</si>
  <si>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</si>
  <si>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</si>
  <si>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</si>
  <si>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</si>
  <si>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</si>
  <si>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</si>
  <si>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</si>
  <si>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</si>
  <si>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</si>
  <si>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</si>
  <si>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</si>
  <si>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</si>
  <si>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</si>
  <si>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</si>
  <si>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</si>
  <si>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</si>
  <si>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</si>
  <si>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</si>
  <si>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</si>
  <si>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</si>
  <si>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</si>
  <si>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</si>
  <si>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</si>
  <si>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</si>
  <si>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</si>
  <si>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</si>
  <si>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</si>
  <si>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</si>
  <si>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</si>
  <si>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</si>
  <si>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</si>
  <si>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</si>
  <si>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</si>
  <si>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</si>
  <si>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</si>
  <si>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</si>
  <si>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</si>
  <si>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</si>
  <si>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</si>
  <si>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</si>
  <si>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</si>
  <si>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</si>
  <si>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</si>
  <si>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</si>
  <si>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</si>
  <si>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</si>
  <si>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</si>
  <si>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</si>
  <si>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</si>
  <si>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</si>
  <si>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</si>
  <si>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</si>
  <si>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</si>
  <si>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</si>
  <si>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</si>
  <si>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</si>
  <si>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</si>
  <si>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</si>
  <si>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</si>
  <si>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</si>
  <si>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</si>
  <si>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</si>
  <si>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</si>
  <si>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</si>
  <si>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</si>
  <si>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</si>
  <si>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</si>
  <si>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</si>
  <si>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</si>
  <si>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</si>
  <si>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</si>
  <si>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</si>
  <si>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</si>
  <si>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</si>
  <si>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</si>
  <si>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</si>
  <si>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</si>
  <si>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</si>
  <si>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</si>
  <si>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</si>
  <si>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</si>
  <si>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</si>
  <si>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</si>
  <si>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</si>
  <si>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</si>
  <si>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</si>
  <si>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</si>
  <si>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</si>
  <si>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</si>
  <si>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</si>
  <si>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</si>
  <si>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</si>
  <si>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</si>
  <si>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</si>
  <si>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</si>
  <si>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</si>
  <si>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</si>
  <si>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</si>
  <si>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</si>
  <si>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</si>
  <si>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</si>
  <si>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</si>
  <si>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</si>
  <si>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</si>
  <si>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</si>
  <si>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</si>
  <si>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</si>
  <si>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</si>
  <si>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</si>
  <si>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</si>
  <si>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</si>
  <si>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</si>
  <si>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</si>
  <si>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</si>
  <si>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</si>
  <si>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</si>
  <si>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</si>
  <si>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</si>
  <si>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</si>
  <si>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</si>
  <si>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</si>
  <si>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</si>
  <si>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</si>
  <si>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</si>
  <si>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</si>
  <si>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</si>
  <si>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</si>
  <si>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</si>
  <si>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</si>
  <si>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</si>
  <si>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</si>
  <si>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</si>
  <si>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</si>
  <si>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</si>
  <si>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</si>
  <si>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</si>
  <si>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</si>
  <si>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</si>
  <si>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</si>
  <si>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</si>
  <si>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</si>
  <si>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</si>
  <si>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</si>
  <si>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</si>
  <si>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</si>
  <si>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</si>
  <si>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</si>
  <si>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</si>
  <si>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</si>
  <si>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</si>
  <si>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</si>
  <si>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</si>
  <si>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</si>
  <si>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</si>
  <si>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</si>
  <si>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</si>
  <si>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</si>
  <si>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</si>
  <si>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</si>
  <si>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</si>
  <si>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</si>
  <si>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</si>
  <si>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</si>
  <si>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</si>
  <si>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</si>
  <si>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</si>
  <si>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</si>
  <si>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</si>
  <si>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</si>
  <si>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</si>
  <si>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</si>
  <si>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</si>
  <si>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</si>
  <si>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</si>
  <si>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</si>
  <si>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</si>
  <si>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</si>
  <si>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</si>
  <si>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</si>
  <si>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</si>
  <si>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</si>
  <si>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</si>
  <si>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</si>
  <si>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</si>
  <si>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</si>
  <si>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</si>
  <si>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</si>
  <si>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</si>
  <si>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</si>
  <si>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</si>
  <si>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</si>
  <si>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</si>
  <si>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</si>
  <si>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</si>
  <si>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</si>
  <si>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</si>
  <si>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</si>
  <si>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</si>
  <si>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</si>
  <si>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</si>
  <si>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</si>
  <si>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</si>
  <si>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</si>
  <si>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</si>
  <si>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</si>
  <si>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</si>
  <si>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</si>
  <si>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</si>
  <si>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</si>
  <si>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</si>
  <si>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</si>
  <si>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</si>
  <si>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</si>
  <si>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</si>
  <si>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</si>
  <si>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</si>
  <si>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</si>
  <si>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</si>
  <si>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</si>
  <si>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</si>
  <si>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</si>
  <si>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</si>
  <si>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</si>
  <si>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</si>
  <si>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</si>
  <si>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</si>
  <si>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</si>
  <si>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</si>
  <si>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</si>
  <si>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</si>
  <si>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</si>
  <si>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</si>
  <si>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</si>
  <si>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</si>
  <si>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</si>
  <si>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</si>
  <si>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</si>
  <si>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</si>
  <si>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</si>
  <si>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</si>
  <si>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</si>
  <si>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</si>
  <si>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</si>
  <si>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</si>
  <si>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</si>
  <si>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</si>
  <si>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</si>
  <si>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</si>
  <si>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</si>
  <si>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</si>
  <si>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</si>
  <si>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</si>
  <si>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</si>
  <si>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</si>
  <si>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</si>
  <si>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</si>
  <si>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</si>
  <si>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</si>
  <si>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</si>
  <si>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</si>
  <si>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</si>
  <si>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</si>
  <si>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</si>
  <si>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</si>
  <si>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</si>
  <si>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</si>
  <si>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</si>
  <si>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</si>
  <si>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</si>
  <si>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</si>
  <si>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</si>
  <si>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</si>
  <si>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</si>
  <si>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</si>
  <si>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</si>
  <si>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</si>
  <si>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</si>
  <si>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</si>
  <si>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</si>
  <si>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</si>
  <si>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</si>
  <si>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</si>
  <si>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</si>
  <si>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</si>
  <si>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</si>
  <si>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</si>
  <si>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</si>
  <si>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</si>
  <si>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</si>
  <si>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</si>
  <si>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</si>
  <si>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</si>
  <si>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</si>
  <si>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</si>
  <si>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</si>
  <si>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</si>
  <si>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</si>
  <si>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</si>
  <si>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</si>
  <si>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</si>
  <si>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</si>
  <si>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</si>
  <si>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</si>
  <si>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</si>
  <si>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</si>
  <si>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</si>
  <si>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</si>
  <si>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</si>
  <si>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</si>
  <si>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</si>
  <si>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</si>
  <si>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</si>
  <si>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</si>
  <si>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</si>
  <si>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</si>
  <si>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</si>
  <si>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</si>
  <si>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</si>
  <si>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</si>
  <si>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</si>
  <si>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</si>
  <si>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</si>
  <si>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</si>
  <si>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</si>
  <si>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</si>
  <si>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</si>
  <si>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</si>
  <si>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</si>
  <si>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</si>
  <si>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</si>
  <si>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</si>
  <si>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</si>
  <si>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</si>
  <si>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</si>
  <si>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</si>
  <si>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</si>
  <si>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</si>
  <si>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</si>
  <si>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</si>
  <si>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</si>
  <si>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</si>
  <si>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</si>
  <si>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</si>
  <si>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</si>
  <si>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</si>
  <si>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</si>
  <si>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</si>
  <si>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</si>
  <si>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</si>
  <si>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</si>
  <si>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</si>
  <si>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</si>
  <si>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</si>
  <si>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</si>
  <si>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</si>
  <si>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</si>
  <si>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</si>
  <si>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</si>
  <si>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</si>
  <si>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</si>
  <si>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</si>
  <si>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</si>
  <si>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</si>
  <si>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</si>
  <si>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</si>
  <si>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</si>
  <si>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</si>
  <si>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</si>
  <si>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</si>
  <si>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</si>
  <si>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</si>
  <si>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</si>
  <si>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</si>
  <si>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</si>
  <si>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</si>
  <si>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</si>
  <si>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</si>
  <si>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</si>
  <si>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</si>
  <si>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</si>
  <si>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</si>
  <si>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</si>
  <si>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</si>
  <si>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</si>
  <si>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</si>
  <si>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</si>
  <si>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</si>
  <si>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</si>
  <si>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</si>
  <si>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</si>
  <si>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</si>
  <si>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</si>
  <si>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</si>
  <si>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</si>
  <si>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</si>
  <si>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</si>
  <si>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</si>
  <si>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</si>
  <si>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</si>
  <si>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</si>
  <si>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</si>
  <si>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</si>
  <si>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</si>
  <si>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</si>
  <si>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</si>
  <si>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</si>
  <si>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</si>
  <si>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</si>
  <si>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</si>
  <si>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</si>
  <si>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</si>
  <si>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</si>
  <si>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</si>
  <si>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</si>
  <si>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</si>
  <si>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</si>
  <si>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</si>
  <si>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</si>
  <si>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</si>
  <si>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</si>
  <si>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</si>
  <si>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</si>
  <si>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</si>
  <si>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</si>
  <si>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</si>
  <si>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</si>
  <si>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</si>
  <si>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</si>
  <si>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</si>
  <si>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</si>
  <si>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</si>
  <si>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</si>
  <si>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</si>
  <si>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</si>
  <si>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</si>
  <si>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</si>
  <si>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</si>
  <si>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</si>
  <si>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</si>
  <si>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</si>
  <si>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</si>
  <si>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</si>
  <si>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</si>
  <si>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</si>
  <si>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</si>
  <si>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</si>
  <si>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</si>
  <si>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</si>
  <si>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</si>
  <si>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</si>
  <si>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</si>
  <si>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</si>
  <si>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</si>
  <si>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</si>
  <si>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</si>
  <si>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</si>
  <si>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</si>
  <si>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</si>
  <si>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</si>
  <si>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</si>
  <si>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</si>
  <si>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</si>
  <si>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</si>
  <si>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</si>
  <si>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</si>
  <si>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</si>
  <si>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</si>
  <si>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</si>
  <si>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</si>
  <si>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</si>
  <si>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</si>
  <si>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</si>
  <si>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</si>
  <si>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</si>
  <si>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</si>
  <si>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</si>
  <si>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</si>
  <si>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</si>
  <si>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</si>
  <si>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</si>
  <si>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</si>
  <si>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</si>
  <si>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</si>
  <si>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</si>
  <si>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</si>
  <si>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</si>
  <si>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</si>
  <si>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</si>
  <si>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</si>
  <si>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</si>
  <si>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</si>
  <si>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</si>
  <si>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</si>
  <si>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</si>
  <si>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</si>
  <si>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</si>
  <si>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</si>
  <si>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</si>
  <si>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</si>
  <si>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</si>
  <si>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</si>
  <si>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</si>
  <si>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</si>
  <si>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</si>
  <si>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</si>
  <si>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</si>
  <si>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</si>
  <si>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</si>
  <si>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</si>
  <si>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</si>
  <si>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</si>
  <si>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</si>
  <si>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</si>
  <si>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</si>
  <si>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</si>
  <si>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</si>
  <si>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</si>
  <si>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</si>
  <si>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</si>
  <si>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</si>
  <si>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</si>
  <si>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</si>
  <si>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</si>
  <si>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</si>
  <si>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</si>
  <si>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</si>
  <si>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</si>
  <si>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</si>
  <si>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</si>
  <si>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</si>
  <si>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</si>
  <si>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</si>
  <si>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</si>
  <si>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</si>
  <si>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</si>
  <si>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</si>
  <si>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</si>
  <si>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</si>
  <si>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</si>
  <si>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</si>
  <si>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</si>
  <si>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</si>
  <si>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</si>
  <si>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</si>
  <si>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</si>
  <si>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</si>
  <si>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</si>
  <si>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</si>
  <si>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</si>
  <si>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</si>
  <si>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</si>
  <si>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</si>
  <si>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</si>
  <si>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</si>
  <si>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</si>
  <si>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</si>
  <si>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</si>
  <si>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</si>
  <si>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</si>
  <si>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</si>
  <si>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</si>
  <si>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</si>
  <si>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</si>
  <si>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</si>
  <si>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</si>
  <si>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</si>
  <si>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</si>
  <si>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</si>
  <si>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</si>
  <si>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</si>
  <si>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</si>
  <si>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</si>
  <si>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</si>
  <si>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</si>
  <si>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</si>
  <si>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</si>
  <si>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</si>
  <si>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</si>
  <si>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</si>
  <si>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</si>
  <si>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</si>
  <si>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</si>
  <si>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</si>
  <si>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</si>
  <si>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</si>
  <si>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</si>
  <si>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</si>
  <si>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</si>
  <si>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</si>
  <si>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</si>
  <si>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</si>
  <si>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</si>
  <si>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</si>
  <si>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</si>
  <si>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</si>
  <si>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</si>
  <si>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</si>
  <si>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</si>
  <si>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</si>
  <si>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</si>
  <si>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</si>
  <si>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</si>
  <si>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</si>
  <si>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</si>
  <si>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</si>
  <si>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</si>
  <si>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</si>
  <si>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</si>
  <si>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</si>
  <si>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</si>
  <si>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</si>
  <si>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</si>
  <si>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</si>
  <si>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</si>
  <si>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</si>
  <si>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</si>
  <si>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</si>
  <si>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</si>
  <si>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</si>
  <si>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</si>
  <si>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</si>
  <si>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</si>
  <si>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</si>
  <si>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</si>
  <si>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</si>
  <si>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</si>
  <si>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</si>
  <si>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</si>
  <si>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</si>
  <si>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</si>
  <si>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</si>
  <si>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</si>
  <si>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</si>
  <si>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</si>
  <si>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</si>
  <si>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</si>
  <si>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</si>
  <si>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</si>
  <si>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</si>
  <si>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</si>
  <si>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</si>
  <si>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</si>
  <si>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</si>
  <si>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</si>
  <si>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</si>
  <si>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</si>
  <si>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</si>
  <si>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</si>
  <si>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</si>
  <si>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</si>
  <si>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</si>
  <si>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</si>
  <si>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</si>
  <si>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</si>
  <si>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</si>
  <si>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</si>
  <si>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</si>
  <si>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</si>
  <si>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</si>
  <si>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</si>
  <si>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</si>
  <si>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</si>
  <si>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</si>
  <si>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</si>
  <si>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</si>
  <si>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</si>
  <si>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</si>
  <si>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</si>
  <si>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</si>
  <si>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</si>
  <si>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</si>
  <si>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</si>
  <si>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</si>
  <si>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</si>
  <si>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</si>
  <si>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</si>
  <si>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</si>
  <si>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</si>
  <si>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</si>
  <si>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</si>
  <si>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</si>
  <si>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</si>
  <si>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</si>
  <si>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</si>
  <si>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</si>
  <si>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</si>
  <si>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</si>
  <si>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</si>
  <si>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</si>
  <si>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</si>
  <si>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</si>
  <si>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</si>
  <si>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</si>
  <si>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</si>
  <si>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</si>
  <si>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</si>
  <si>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</si>
  <si>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</si>
  <si>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</si>
  <si>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</si>
  <si>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</si>
  <si>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</si>
  <si>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</si>
  <si>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</si>
  <si>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</si>
  <si>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</si>
  <si>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</si>
  <si>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</si>
  <si>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</si>
  <si>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</si>
  <si>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</si>
  <si>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</si>
  <si>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</si>
  <si>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</si>
  <si>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</si>
  <si>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</si>
  <si>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</si>
  <si>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</si>
  <si>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</si>
  <si>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</si>
  <si>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</si>
  <si>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</si>
  <si>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</si>
  <si>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</si>
  <si>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</si>
  <si>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</si>
  <si>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</si>
  <si>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</si>
  <si>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</si>
  <si>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</si>
  <si>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</si>
  <si>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</si>
  <si>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</si>
  <si>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</si>
  <si>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</si>
  <si>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</si>
  <si>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</si>
  <si>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</si>
  <si>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</si>
  <si>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</si>
  <si>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</si>
  <si>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</si>
  <si>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</si>
  <si>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</si>
  <si>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</si>
  <si>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</si>
  <si>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</si>
  <si>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</si>
  <si>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</si>
  <si>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</si>
  <si>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</si>
  <si>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</si>
  <si>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</si>
  <si>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</si>
  <si>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</si>
  <si>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</si>
  <si>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</si>
  <si>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</si>
  <si>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</si>
  <si>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</si>
  <si>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</si>
  <si>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</si>
  <si>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</si>
  <si>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</si>
  <si>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</si>
  <si>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</si>
  <si>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</si>
  <si>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</si>
  <si>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</si>
  <si>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</si>
  <si>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</si>
  <si>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</si>
  <si>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</si>
  <si>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</si>
  <si>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</si>
  <si>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</si>
  <si>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</si>
  <si>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</si>
  <si>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</si>
  <si>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</si>
  <si>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</si>
  <si>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</si>
  <si>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</si>
  <si>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</si>
  <si>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</si>
  <si>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</si>
  <si>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</si>
  <si>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</si>
  <si>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</si>
  <si>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</si>
  <si>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</si>
  <si>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</si>
  <si>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</si>
  <si>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</si>
  <si>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</si>
  <si>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</si>
  <si>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</si>
  <si>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</si>
  <si>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</si>
  <si>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</si>
  <si>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</si>
  <si>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</si>
  <si>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</si>
  <si>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</si>
  <si>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</si>
  <si>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</si>
  <si>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</si>
  <si>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</si>
  <si>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</si>
  <si>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</si>
  <si>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</si>
  <si>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</si>
  <si>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</si>
  <si>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</si>
  <si>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</si>
  <si>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</si>
  <si>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</si>
  <si>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</si>
  <si>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</si>
  <si>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</si>
  <si>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</si>
  <si>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</si>
  <si>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</si>
  <si>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</si>
  <si>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</si>
  <si>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</si>
  <si>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</si>
  <si>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</si>
  <si>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</si>
  <si>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</si>
  <si>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</si>
  <si>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</si>
  <si>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</si>
  <si>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</si>
  <si>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</si>
  <si>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</si>
  <si>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</si>
  <si>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</si>
  <si>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</si>
  <si>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</si>
  <si>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</si>
  <si>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</si>
  <si>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</si>
  <si>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</si>
  <si>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</si>
  <si>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</si>
  <si>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</si>
  <si>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</si>
  <si>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</si>
  <si>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</si>
  <si>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</si>
  <si>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</si>
  <si>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</si>
  <si>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</si>
  <si>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</si>
  <si>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</si>
  <si>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</si>
  <si>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</si>
  <si>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</si>
  <si>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</si>
  <si>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</si>
  <si>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</si>
  <si>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</si>
  <si>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</si>
  <si>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</si>
  <si>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</si>
  <si>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</si>
  <si>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</si>
  <si>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</si>
  <si>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</si>
  <si>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</si>
  <si>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</si>
  <si>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</si>
  <si>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</si>
  <si>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</si>
  <si>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</si>
  <si>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</si>
  <si>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</si>
  <si>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</si>
  <si>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</si>
  <si>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</si>
  <si>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</si>
  <si>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</si>
  <si>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</si>
  <si>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</si>
  <si>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</si>
  <si>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</si>
  <si>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</si>
  <si>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</si>
  <si>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</si>
  <si>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</si>
  <si>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</si>
  <si>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</si>
  <si>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</si>
  <si>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</si>
  <si>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</si>
  <si>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</si>
  <si>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</si>
  <si>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</si>
  <si>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</si>
  <si>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</si>
  <si>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</si>
  <si>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</si>
  <si>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</si>
  <si>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</si>
  <si>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</si>
  <si>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</si>
  <si>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</si>
  <si>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</si>
  <si>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</si>
  <si>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</si>
  <si>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</si>
  <si>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</si>
  <si>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</si>
  <si>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</si>
  <si>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</si>
  <si>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</si>
  <si>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</si>
  <si>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</si>
  <si>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</si>
  <si>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</si>
  <si>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</si>
  <si>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</si>
  <si>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</si>
  <si>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</si>
  <si>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</si>
  <si>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</si>
  <si>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</si>
  <si>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</si>
  <si>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</si>
  <si>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</si>
  <si>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</si>
  <si>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</si>
  <si>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</si>
  <si>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</si>
  <si>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</si>
  <si>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</si>
  <si>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</si>
  <si>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</si>
  <si>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</si>
  <si>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</si>
  <si>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</si>
  <si>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</si>
  <si>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</si>
  <si>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</si>
  <si>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</si>
  <si>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</si>
  <si>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</si>
  <si>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</si>
  <si>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</si>
  <si>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</si>
  <si>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</si>
  <si>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</si>
  <si>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</si>
  <si>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</si>
  <si>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</si>
  <si>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</si>
  <si>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</si>
  <si>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</si>
  <si>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</si>
  <si>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</si>
  <si>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</si>
  <si>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</si>
  <si>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</si>
  <si>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</si>
  <si>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</si>
  <si>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</si>
  <si>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</si>
  <si>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</si>
  <si>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</si>
  <si>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</si>
  <si>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</si>
  <si>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</si>
  <si>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</si>
  <si>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</si>
  <si>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</si>
  <si>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</si>
  <si>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</si>
  <si>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</si>
  <si>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</si>
  <si>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</si>
  <si>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</si>
  <si>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</si>
  <si>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</si>
  <si>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</si>
  <si>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</si>
  <si>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</si>
  <si>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</si>
  <si>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</si>
  <si>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</si>
  <si>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</si>
  <si>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</si>
  <si>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</si>
  <si>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</si>
  <si>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</si>
  <si>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</si>
  <si>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</si>
  <si>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</si>
  <si>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</si>
  <si>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</si>
  <si>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</si>
  <si>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</si>
  <si>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</si>
  <si>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</si>
  <si>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</si>
  <si>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</si>
  <si>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</si>
  <si>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</si>
  <si>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</si>
  <si>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</si>
  <si>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</si>
  <si>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</si>
  <si>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</si>
  <si>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</si>
  <si>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</si>
  <si>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</si>
  <si>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</si>
  <si>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</si>
  <si>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</si>
  <si>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</si>
  <si>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</si>
  <si>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</si>
  <si>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</si>
  <si>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</si>
  <si>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</si>
  <si>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</si>
  <si>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</si>
  <si>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</si>
  <si>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</si>
  <si>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</si>
  <si>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</si>
  <si>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</si>
  <si>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</si>
  <si>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</si>
  <si>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</si>
  <si>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</si>
  <si>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</si>
  <si>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</si>
  <si>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</si>
  <si>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</si>
  <si>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</si>
  <si>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</si>
  <si>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</si>
  <si>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</si>
  <si>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</si>
  <si>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</si>
  <si>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</si>
  <si>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</si>
  <si>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</si>
  <si>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</si>
  <si>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</si>
  <si>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</si>
  <si>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</si>
  <si>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</si>
  <si>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</si>
  <si>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</si>
  <si>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</si>
  <si>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</si>
  <si>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</si>
  <si>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</si>
  <si>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</si>
  <si>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</si>
  <si>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</si>
  <si>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</si>
  <si>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</si>
  <si>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</si>
  <si>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</si>
  <si>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</si>
  <si>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</si>
  <si>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</si>
  <si>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</si>
  <si>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</si>
  <si>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</si>
  <si>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</si>
  <si>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</si>
  <si>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</si>
  <si>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</si>
  <si>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</si>
  <si>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</si>
  <si>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</si>
  <si>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</si>
  <si>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</si>
  <si>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</si>
  <si>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</si>
  <si>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</si>
  <si>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</si>
  <si>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</si>
  <si>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</si>
  <si>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</si>
  <si>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</si>
  <si>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</si>
  <si>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</si>
  <si>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</si>
  <si>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</si>
  <si>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</si>
  <si>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</si>
  <si>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</si>
  <si>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</si>
  <si>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</si>
  <si>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</si>
  <si>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</si>
  <si>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</si>
  <si>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</si>
  <si>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</si>
  <si>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</si>
  <si>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</si>
  <si>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</si>
  <si>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</si>
  <si>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</si>
  <si>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</si>
  <si>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</si>
  <si>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</si>
  <si>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</si>
  <si>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</si>
  <si>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</si>
  <si>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</si>
  <si>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</si>
  <si>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</si>
  <si>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</si>
  <si>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</si>
  <si>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</si>
  <si>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</si>
  <si>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</si>
  <si>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</si>
  <si>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</si>
  <si>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</si>
  <si>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</si>
  <si>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</si>
  <si>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</si>
  <si>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</si>
  <si>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</si>
  <si>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</si>
  <si>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</si>
  <si>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</si>
  <si>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</si>
  <si>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</si>
  <si>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</si>
  <si>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</si>
  <si>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</si>
  <si>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</si>
  <si>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</si>
  <si>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</si>
  <si>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</si>
  <si>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</si>
  <si>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</si>
  <si>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</si>
  <si>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</si>
  <si>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</si>
  <si>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</si>
  <si>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</si>
  <si>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</si>
  <si>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</si>
  <si>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</si>
  <si>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</si>
  <si>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</si>
  <si>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</si>
  <si>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</si>
  <si>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</si>
  <si>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</si>
  <si>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</si>
  <si>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</si>
  <si>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</si>
  <si>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</si>
  <si>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</si>
  <si>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</si>
  <si>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</si>
  <si>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</si>
  <si>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</si>
  <si>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</si>
  <si>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</si>
  <si>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</si>
  <si>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</si>
  <si>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</si>
  <si>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</si>
  <si>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</si>
  <si>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</si>
  <si>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</si>
  <si>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</si>
  <si>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</si>
  <si>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</si>
  <si>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</si>
  <si>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</si>
  <si>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</si>
  <si>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</si>
  <si>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</si>
  <si>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</si>
  <si>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</si>
  <si>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</si>
  <si>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</si>
  <si>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</si>
  <si>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</si>
  <si>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</si>
  <si>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</si>
  <si>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</si>
  <si>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</si>
  <si>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</si>
  <si>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</si>
  <si>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</si>
  <si>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</si>
  <si>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</si>
  <si>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</si>
  <si>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</si>
  <si>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</si>
  <si>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</si>
  <si>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</si>
  <si>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</si>
  <si>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</si>
  <si>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</si>
  <si>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</si>
  <si>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</si>
  <si>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</si>
  <si>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</si>
  <si>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</si>
  <si>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</si>
  <si>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</si>
  <si>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</si>
  <si>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</si>
  <si>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</si>
  <si>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</si>
  <si>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</si>
  <si>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</si>
  <si>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</si>
  <si>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</si>
  <si>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</si>
  <si>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</si>
  <si>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</si>
  <si>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</si>
  <si>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</si>
  <si>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</si>
  <si>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</si>
  <si>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</si>
  <si>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</si>
  <si>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</si>
  <si>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</si>
  <si>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</si>
  <si>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</si>
  <si>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</si>
  <si>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</si>
  <si>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</si>
  <si>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</si>
  <si>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</si>
  <si>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</si>
  <si>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</si>
  <si>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</si>
  <si>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</si>
  <si>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</si>
  <si>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</si>
  <si>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</si>
  <si>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</si>
  <si>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</si>
  <si>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</si>
  <si>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</si>
  <si>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</si>
  <si>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</si>
  <si>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</si>
  <si>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</si>
  <si>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</si>
  <si>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</si>
  <si>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</si>
  <si>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</si>
  <si>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</si>
  <si>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</si>
  <si>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</si>
  <si>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</si>
  <si>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</si>
  <si>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</si>
  <si>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</si>
  <si>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</si>
  <si>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</si>
  <si>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</si>
  <si>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</si>
  <si>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</si>
  <si>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</si>
  <si>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</si>
  <si>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</si>
  <si>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</si>
  <si>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</si>
  <si>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</si>
  <si>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</si>
  <si>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</si>
  <si>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</si>
  <si>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</si>
  <si>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</si>
  <si>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</si>
  <si>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</si>
  <si>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</si>
  <si>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</si>
  <si>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</si>
  <si>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</si>
  <si>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</si>
  <si>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</si>
  <si>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</si>
  <si>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</si>
  <si>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</si>
  <si>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</si>
  <si>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</si>
  <si>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</si>
  <si>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</si>
  <si>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</si>
  <si>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</si>
  <si>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</si>
  <si>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</si>
  <si>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</si>
  <si>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</si>
  <si>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</si>
  <si>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</si>
  <si>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</si>
  <si>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</si>
  <si>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</si>
  <si>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</si>
  <si>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</si>
  <si>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</si>
  <si>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</si>
  <si>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</si>
  <si>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</si>
  <si>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</si>
  <si>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</si>
  <si>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</si>
  <si>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</si>
  <si>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</si>
  <si>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</si>
  <si>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</si>
  <si>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</si>
  <si>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</si>
  <si>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</si>
  <si>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</si>
  <si>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</si>
  <si>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</si>
  <si>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</si>
  <si>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</si>
  <si>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</si>
  <si>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</si>
  <si>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</si>
  <si>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</si>
  <si>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</si>
  <si>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</si>
  <si>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</si>
  <si>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</si>
  <si>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</si>
  <si>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</si>
  <si>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</si>
  <si>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</si>
  <si>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</si>
  <si>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</si>
  <si>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</si>
  <si>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</si>
  <si>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</si>
  <si>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</si>
  <si>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</si>
  <si>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</si>
  <si>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</si>
  <si>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</si>
  <si>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</si>
  <si>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</si>
  <si>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</si>
  <si>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</si>
  <si>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</si>
  <si>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</si>
  <si>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</si>
  <si>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</si>
  <si>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</si>
  <si>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</si>
  <si>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</si>
  <si>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</si>
  <si>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</si>
  <si>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</si>
  <si>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</si>
  <si>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</si>
  <si>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</si>
  <si>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</si>
  <si>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</si>
  <si>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</si>
  <si>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</si>
  <si>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</si>
  <si>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</si>
  <si>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</si>
  <si>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</si>
  <si>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</si>
  <si>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</si>
  <si>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</si>
  <si>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</si>
  <si>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</si>
  <si>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</si>
  <si>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</si>
  <si>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</si>
  <si>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</si>
  <si>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</si>
  <si>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</si>
  <si>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</si>
  <si>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</si>
  <si>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</si>
  <si>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</si>
  <si>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</si>
  <si>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</si>
  <si>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</si>
  <si>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</si>
  <si>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</si>
  <si>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</si>
  <si>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</si>
  <si>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</si>
  <si>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</si>
  <si>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</si>
  <si>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</si>
  <si>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</si>
  <si>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</si>
  <si>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</si>
  <si>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</si>
  <si>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</si>
  <si>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</si>
  <si>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</si>
  <si>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</si>
  <si>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</si>
  <si>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</si>
  <si>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</si>
  <si>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</si>
  <si>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</si>
  <si>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</si>
  <si>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</si>
  <si>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</si>
  <si>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</si>
  <si>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</si>
  <si>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</si>
  <si>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</si>
  <si>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</si>
  <si>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</si>
  <si>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</si>
  <si>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</si>
  <si>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</si>
  <si>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</si>
  <si>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</si>
  <si>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</si>
  <si>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</si>
  <si>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</si>
  <si>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</si>
  <si>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</si>
  <si>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</si>
  <si>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</si>
  <si>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</si>
  <si>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</si>
  <si>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</si>
  <si>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</si>
  <si>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</si>
  <si>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</si>
  <si>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</si>
  <si>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</si>
  <si>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</si>
  <si>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</si>
  <si>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</si>
  <si>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</si>
  <si>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</si>
  <si>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</si>
  <si>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</si>
  <si>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</si>
  <si>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</si>
  <si>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</si>
  <si>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</si>
  <si>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</si>
  <si>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</si>
  <si>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</si>
  <si>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</si>
  <si>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</si>
  <si>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</si>
  <si>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</si>
  <si>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</si>
  <si>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</si>
  <si>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</si>
  <si>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</si>
  <si>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</si>
  <si>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</si>
  <si>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</si>
  <si>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</si>
  <si>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</si>
  <si>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</si>
  <si>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</si>
  <si>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</si>
  <si>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</si>
  <si>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</si>
  <si>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</si>
  <si>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</si>
  <si>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</si>
  <si>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</si>
  <si>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</si>
  <si>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</si>
  <si>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</si>
  <si>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</si>
  <si>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</si>
  <si>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</si>
  <si>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</si>
  <si>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</si>
  <si>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</si>
  <si>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</si>
  <si>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</si>
  <si>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</si>
  <si>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</si>
  <si>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</si>
  <si>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</si>
  <si>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</si>
  <si>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</si>
  <si>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</si>
  <si>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</si>
  <si>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</si>
  <si>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</si>
  <si>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</si>
  <si>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</si>
  <si>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</si>
  <si>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</si>
  <si>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</si>
  <si>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</si>
  <si>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</si>
  <si>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</si>
  <si>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</si>
  <si>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</si>
  <si>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</si>
  <si>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</si>
  <si>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</si>
  <si>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</si>
  <si>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</si>
  <si>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</si>
  <si>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</si>
  <si>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</si>
  <si>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</si>
  <si>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</si>
  <si>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</si>
  <si>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</si>
  <si>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</si>
  <si>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</si>
  <si>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</si>
  <si>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</si>
  <si>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</si>
  <si>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</si>
  <si>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</si>
  <si>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</si>
  <si>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</si>
  <si>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</si>
  <si>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</si>
  <si>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</si>
  <si>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</si>
  <si>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</si>
  <si>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</si>
  <si>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</si>
  <si>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</si>
  <si>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</si>
  <si>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</si>
  <si>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</si>
  <si>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</si>
  <si>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</si>
  <si>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</si>
  <si>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</si>
  <si>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</si>
  <si>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</si>
  <si>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</si>
  <si>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</si>
  <si>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</si>
  <si>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</si>
  <si>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</si>
  <si>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</si>
  <si>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</si>
  <si>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</si>
  <si>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</si>
  <si>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</si>
  <si>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</si>
  <si>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</si>
  <si>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</si>
  <si>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</si>
  <si>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</si>
  <si>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</si>
  <si>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</si>
  <si>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</si>
  <si>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</si>
  <si>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</si>
  <si>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</si>
  <si>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</si>
  <si>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</si>
  <si>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</si>
  <si>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</si>
  <si>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</si>
  <si>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</si>
  <si>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</si>
  <si>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</si>
  <si>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</si>
  <si>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</si>
  <si>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</si>
  <si>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</si>
  <si>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</si>
  <si>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</si>
  <si>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</si>
  <si>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</si>
  <si>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</si>
  <si>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</si>
  <si>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</si>
  <si>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</si>
  <si>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</si>
  <si>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</si>
  <si>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</si>
  <si>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</si>
  <si>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</si>
  <si>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</si>
  <si>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</si>
  <si>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</si>
  <si>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</si>
  <si>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</si>
  <si>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</si>
  <si>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</si>
  <si>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</si>
  <si>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</si>
  <si>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</si>
  <si>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</si>
  <si>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</si>
  <si>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</si>
  <si>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</si>
  <si>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</si>
  <si>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</si>
  <si>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</si>
  <si>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</si>
  <si>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</si>
  <si>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</si>
  <si>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</si>
  <si>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</si>
  <si>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</si>
  <si>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</si>
  <si>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</si>
  <si>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</si>
  <si>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</si>
  <si>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</si>
  <si>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</si>
  <si>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</si>
  <si>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</si>
  <si>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</si>
  <si>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</si>
  <si>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</si>
  <si>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</si>
  <si>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</si>
  <si>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</si>
  <si>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</si>
  <si>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</si>
  <si>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</si>
  <si>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</si>
  <si>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</si>
  <si>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</si>
  <si>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</si>
  <si>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</si>
  <si>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</si>
  <si>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</si>
  <si>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</si>
  <si>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</si>
  <si>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</si>
  <si>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</si>
  <si>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</si>
  <si>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</si>
  <si>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</si>
  <si>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</si>
  <si>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</si>
  <si>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</si>
  <si>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</si>
  <si>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</si>
  <si>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</si>
  <si>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</si>
  <si>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</si>
  <si>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</si>
  <si>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</si>
  <si>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</si>
  <si>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</si>
  <si>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</si>
  <si>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</si>
  <si>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</si>
  <si>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</si>
  <si>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</si>
  <si>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</si>
  <si>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</si>
  <si>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</si>
  <si>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</si>
  <si>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</si>
  <si>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</si>
  <si>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</si>
  <si>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</si>
  <si>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</si>
  <si>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</si>
  <si>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</si>
  <si>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</si>
  <si>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</si>
  <si>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</si>
  <si>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</si>
  <si>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</si>
  <si>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</si>
  <si>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</si>
  <si>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</si>
  <si>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</si>
  <si>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</si>
  <si>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</si>
  <si>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</si>
  <si>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</si>
  <si>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</si>
  <si>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</si>
  <si>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</si>
  <si>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</si>
  <si>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</si>
  <si>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</si>
  <si>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</si>
  <si>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</si>
  <si>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</si>
  <si>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</si>
  <si>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</si>
  <si>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</si>
  <si>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</si>
  <si>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</si>
  <si>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</si>
  <si>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</si>
  <si>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</si>
  <si>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</si>
  <si>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</si>
  <si>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</si>
  <si>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</si>
  <si>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</si>
  <si>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</si>
  <si>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</si>
  <si>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</si>
  <si>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</si>
  <si>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</si>
  <si>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</si>
  <si>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</si>
  <si>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</si>
  <si>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</si>
  <si>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</si>
  <si>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</si>
  <si>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</si>
  <si>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</si>
  <si>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</si>
  <si>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</si>
  <si>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</si>
  <si>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</si>
  <si>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</si>
  <si>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</si>
  <si>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</si>
  <si>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</si>
  <si>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</si>
  <si>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</si>
  <si>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</si>
  <si>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</si>
  <si>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</si>
  <si>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</si>
  <si>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</si>
  <si>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</si>
  <si>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</si>
  <si>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</si>
  <si>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</si>
  <si>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</si>
  <si>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</si>
  <si>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</si>
  <si>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</si>
  <si>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</si>
  <si>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</si>
  <si>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</si>
  <si>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</si>
  <si>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</si>
  <si>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</si>
  <si>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</si>
  <si>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</si>
  <si>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</si>
  <si>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</si>
  <si>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</si>
  <si>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</si>
  <si>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</si>
  <si>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</si>
  <si>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</si>
  <si>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</si>
  <si>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</si>
  <si>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</si>
  <si>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</si>
  <si>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</si>
  <si>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</si>
  <si>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</si>
  <si>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</si>
  <si>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</si>
  <si>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</si>
  <si>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</si>
  <si>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</si>
  <si>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</si>
  <si>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</si>
  <si>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</si>
  <si>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</si>
  <si>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</si>
  <si>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</si>
  <si>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</si>
  <si>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</si>
  <si>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</si>
  <si>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</si>
  <si>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</si>
  <si>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</si>
  <si>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</si>
  <si>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</si>
  <si>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</si>
  <si>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</si>
  <si>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</si>
  <si>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</si>
  <si>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</si>
  <si>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</si>
  <si>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</si>
  <si>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</si>
  <si>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</si>
  <si>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</si>
  <si>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</si>
  <si>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</si>
  <si>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</si>
  <si>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</si>
  <si>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</si>
  <si>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</si>
  <si>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</si>
  <si>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</si>
  <si>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</si>
  <si>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</si>
  <si>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</si>
  <si>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</si>
  <si>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</si>
  <si>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</si>
  <si>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</si>
  <si>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</si>
  <si>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</si>
  <si>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</si>
  <si>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</si>
  <si>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</si>
  <si>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</si>
  <si>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</si>
  <si>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</si>
  <si>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</si>
  <si>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</si>
  <si>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</si>
  <si>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</si>
  <si>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</si>
  <si>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</si>
  <si>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</si>
  <si>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</si>
  <si>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</si>
  <si>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</si>
  <si>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</si>
  <si>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</si>
  <si>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</si>
  <si>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</si>
  <si>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</si>
  <si>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</si>
  <si>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</si>
  <si>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</si>
  <si>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</si>
  <si>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</si>
  <si>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</si>
  <si>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</si>
  <si>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</si>
  <si>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</si>
  <si>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</si>
  <si>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</si>
  <si>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</si>
  <si>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</si>
  <si>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</si>
  <si>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</si>
  <si>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</si>
  <si>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</si>
  <si>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</si>
  <si>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</si>
  <si>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</si>
  <si>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</si>
  <si>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</si>
  <si>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</si>
  <si>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</si>
  <si>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</si>
  <si>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</si>
  <si>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</si>
  <si>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</si>
  <si>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</si>
  <si>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</si>
  <si>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</si>
  <si>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</si>
  <si>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</si>
  <si>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</si>
  <si>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</si>
  <si>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</si>
  <si>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</si>
  <si>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</si>
  <si>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</si>
  <si>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</si>
  <si>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</si>
  <si>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</si>
  <si>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</si>
  <si>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</si>
  <si>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</si>
  <si>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</si>
  <si>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</si>
  <si>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</si>
  <si>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</si>
  <si>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</si>
  <si>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</si>
  <si>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</si>
  <si>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</si>
  <si>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</si>
  <si>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</si>
  <si>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</si>
  <si>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</si>
  <si>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</si>
  <si>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</si>
  <si>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</si>
  <si>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</si>
  <si>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</si>
  <si>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</si>
  <si>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</si>
  <si>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</si>
  <si>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</si>
  <si>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</si>
  <si>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</si>
  <si>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</si>
  <si>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</si>
  <si>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</si>
  <si>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</si>
  <si>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</si>
  <si>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</si>
  <si>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</si>
  <si>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</si>
  <si>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</si>
  <si>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</si>
  <si>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</si>
  <si>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</si>
  <si>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</si>
  <si>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</si>
  <si>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</si>
  <si>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</si>
  <si>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</si>
  <si>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</si>
  <si>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</si>
  <si>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</si>
  <si>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</si>
  <si>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</si>
  <si>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</si>
  <si>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</si>
  <si>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</si>
  <si>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</si>
  <si>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</si>
  <si>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</si>
  <si>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</si>
  <si>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</si>
  <si>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</si>
  <si>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</si>
  <si>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</si>
  <si>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</si>
  <si>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</si>
  <si>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</si>
  <si>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</si>
  <si>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</si>
  <si>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</si>
  <si>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</si>
  <si>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</si>
  <si>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</si>
  <si>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</si>
  <si>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</si>
  <si>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</si>
  <si>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</si>
  <si>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</si>
  <si>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</si>
  <si>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</si>
  <si>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</si>
  <si>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</si>
  <si>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</si>
  <si>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</si>
  <si>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</si>
  <si>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</si>
  <si>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</si>
  <si>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</si>
  <si>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</si>
  <si>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</si>
  <si>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</si>
  <si>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</si>
  <si>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</si>
  <si>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</si>
  <si>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</si>
  <si>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</si>
  <si>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</si>
  <si>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</si>
  <si>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</si>
  <si>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</si>
  <si>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</si>
  <si>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</si>
  <si>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</si>
  <si>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</si>
  <si>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</si>
  <si>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</si>
  <si>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</si>
  <si>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</si>
  <si>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</si>
  <si>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</si>
  <si>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</si>
  <si>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</si>
  <si>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</si>
  <si>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</si>
  <si>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</si>
  <si>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</si>
  <si>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</si>
  <si>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</si>
  <si>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</si>
  <si>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</si>
  <si>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</si>
  <si>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</si>
  <si>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</si>
  <si>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</si>
  <si>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</si>
  <si>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</si>
  <si>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</si>
  <si>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</si>
  <si>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</si>
  <si>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</si>
  <si>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</si>
  <si>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</si>
  <si>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</si>
  <si>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</si>
  <si>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</si>
  <si>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</si>
  <si>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</si>
  <si>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</si>
  <si>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</si>
  <si>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</si>
  <si>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</si>
  <si>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</si>
  <si>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</si>
  <si>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</si>
  <si>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</si>
  <si>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</si>
  <si>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</si>
  <si>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</si>
  <si>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</si>
  <si>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</si>
  <si>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</si>
  <si>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</si>
  <si>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</si>
  <si>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</si>
  <si>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</si>
  <si>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</si>
  <si>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</si>
  <si>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</si>
  <si>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</si>
  <si>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</si>
  <si>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</si>
  <si>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</si>
  <si>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</si>
  <si>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</si>
  <si>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</si>
  <si>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</si>
  <si>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</si>
  <si>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</si>
  <si>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</si>
  <si>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</si>
  <si>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</si>
  <si>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</si>
  <si>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</si>
  <si>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</si>
  <si>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</si>
  <si>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</si>
  <si>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</si>
  <si>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</si>
  <si>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</si>
  <si>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</si>
  <si>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</si>
  <si>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</si>
  <si>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</si>
  <si>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</si>
  <si>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</si>
  <si>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</si>
  <si>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</si>
  <si>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</si>
  <si>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</si>
  <si>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</si>
  <si>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</si>
  <si>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</si>
  <si>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</si>
  <si>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</si>
  <si>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</si>
  <si>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</si>
  <si>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</si>
  <si>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</si>
  <si>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</si>
  <si>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</si>
  <si>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</si>
  <si>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</si>
  <si>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</si>
  <si>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</si>
  <si>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</si>
  <si>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</si>
  <si>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</si>
  <si>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</si>
  <si>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</si>
  <si>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</si>
  <si>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</si>
  <si>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</si>
  <si>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</si>
  <si>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</si>
  <si>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</si>
  <si>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</si>
  <si>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</si>
  <si>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</si>
  <si>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</si>
  <si>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</si>
  <si>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</si>
  <si>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</si>
  <si>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</si>
  <si>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</si>
  <si>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</si>
  <si>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</si>
  <si>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</si>
  <si>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</si>
  <si>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</si>
  <si>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</si>
  <si>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</si>
  <si>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</si>
  <si>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</si>
  <si>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</si>
  <si>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</si>
  <si>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</si>
  <si>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</si>
  <si>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</si>
  <si>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</si>
  <si>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</si>
  <si>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</si>
  <si>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</si>
  <si>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</si>
  <si>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</si>
  <si>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</si>
  <si>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</si>
  <si>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</si>
  <si>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</si>
  <si>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</si>
  <si>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</si>
  <si>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</si>
  <si>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</si>
  <si>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</si>
  <si>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</si>
  <si>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</si>
  <si>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</si>
  <si>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</si>
  <si>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</si>
  <si>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</si>
  <si>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</si>
  <si>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</si>
  <si>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</si>
  <si>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</si>
  <si>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</si>
  <si>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</si>
  <si>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</si>
  <si>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</si>
  <si>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</si>
  <si>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</si>
  <si>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</si>
  <si>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</si>
  <si>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</si>
  <si>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</si>
  <si>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</si>
  <si>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</si>
  <si>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</si>
  <si>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</si>
  <si>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</si>
  <si>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</si>
  <si>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</si>
  <si>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</si>
  <si>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</si>
  <si>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</si>
  <si>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</si>
  <si>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</si>
  <si>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</si>
  <si>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</si>
  <si>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</si>
  <si>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</si>
  <si>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</si>
  <si>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</si>
  <si>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</si>
  <si>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</si>
  <si>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</si>
  <si>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</si>
  <si>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</si>
  <si>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</si>
  <si>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</si>
  <si>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</si>
  <si>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</si>
  <si>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</si>
  <si>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</si>
  <si>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</si>
  <si>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</si>
  <si>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</si>
  <si>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</si>
  <si>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</si>
  <si>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</si>
  <si>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</si>
  <si>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</si>
  <si>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</si>
  <si>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</si>
  <si>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</si>
  <si>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</si>
  <si>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</si>
  <si>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</si>
  <si>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</si>
  <si>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</si>
  <si>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</si>
  <si>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</si>
  <si>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</si>
  <si>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</si>
  <si>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</si>
  <si>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</si>
  <si>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</si>
  <si>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</si>
  <si>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</si>
  <si>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</si>
  <si>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</si>
  <si>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</si>
  <si>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</si>
  <si>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</si>
  <si>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</si>
  <si>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</si>
  <si>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</si>
  <si>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</si>
  <si>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</si>
  <si>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</si>
  <si>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</si>
  <si>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</si>
  <si>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</si>
  <si>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</si>
  <si>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</si>
  <si>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</si>
  <si>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</si>
  <si>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</si>
  <si>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</si>
  <si>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</si>
  <si>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</si>
  <si>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</si>
  <si>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</si>
  <si>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</si>
  <si>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</si>
  <si>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</si>
  <si>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</si>
  <si>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</si>
  <si>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</si>
  <si>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</si>
  <si>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</si>
  <si>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</si>
  <si>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</si>
  <si>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</si>
  <si>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</si>
  <si>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</si>
  <si>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</si>
  <si>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</si>
  <si>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</si>
  <si>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</si>
  <si>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</si>
  <si>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</si>
  <si>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</si>
  <si>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</si>
  <si>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</si>
  <si>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</si>
  <si>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</si>
  <si>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</si>
  <si>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</si>
  <si>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</si>
  <si>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</si>
  <si>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</si>
  <si>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</si>
  <si>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</si>
  <si>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</si>
  <si>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</si>
  <si>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</si>
  <si>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</si>
  <si>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</si>
  <si>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</si>
  <si>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</si>
  <si>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</si>
  <si>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</si>
  <si>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</si>
  <si>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</si>
  <si>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</si>
  <si>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</si>
  <si>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</si>
  <si>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</si>
  <si>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</si>
  <si>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</si>
  <si>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</si>
  <si>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</si>
  <si>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</si>
  <si>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</si>
  <si>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</si>
  <si>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</si>
  <si>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</si>
  <si>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</si>
  <si>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</si>
  <si>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</si>
  <si>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</si>
  <si>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</si>
  <si>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</si>
  <si>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</si>
  <si>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</si>
  <si>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</si>
  <si>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</si>
  <si>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</si>
  <si>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</si>
  <si>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</si>
  <si>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</si>
  <si>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</si>
  <si>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</si>
  <si>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</si>
  <si>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</si>
  <si>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</si>
  <si>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</si>
  <si>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</si>
  <si>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</si>
  <si>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</si>
  <si>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</si>
  <si>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</si>
  <si>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</si>
  <si>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</si>
  <si>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</si>
  <si>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</si>
  <si>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</si>
  <si>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</si>
  <si>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</si>
  <si>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</si>
  <si>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</si>
  <si>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</si>
  <si>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</si>
  <si>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</si>
  <si>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</si>
  <si>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</si>
  <si>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</si>
  <si>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</si>
  <si>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</si>
  <si>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</si>
  <si>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</si>
  <si>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</si>
  <si>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</si>
  <si>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</si>
  <si>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</si>
  <si>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</si>
  <si>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</si>
  <si>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</si>
  <si>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</si>
  <si>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</si>
  <si>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</si>
  <si>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</si>
  <si>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</si>
  <si>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</si>
  <si>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</si>
  <si>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</si>
  <si>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</si>
  <si>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</si>
  <si>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</si>
  <si>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</si>
  <si>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</si>
  <si>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</si>
  <si>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</si>
  <si>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</si>
  <si>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</si>
  <si>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</si>
  <si>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</si>
  <si>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</si>
  <si>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</si>
  <si>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</si>
  <si>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</si>
  <si>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</si>
  <si>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</si>
  <si>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</si>
  <si>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</si>
  <si>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</si>
  <si>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</si>
  <si>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</si>
  <si>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</si>
  <si>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</si>
  <si>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</si>
  <si>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</si>
  <si>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</si>
  <si>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</si>
  <si>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</si>
  <si>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</si>
  <si>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</si>
  <si>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</si>
  <si>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</si>
  <si>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</si>
  <si>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</si>
  <si>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</si>
  <si>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</si>
  <si>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</si>
  <si>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</si>
  <si>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</si>
  <si>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</si>
  <si>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</si>
  <si>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</si>
  <si>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</si>
  <si>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</si>
  <si>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</si>
  <si>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</si>
  <si>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</si>
  <si>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</si>
  <si>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</si>
  <si>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</si>
  <si>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</si>
  <si>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</si>
  <si>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</si>
  <si>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</si>
  <si>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</si>
  <si>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</si>
  <si>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</si>
  <si>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</si>
  <si>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</si>
  <si>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</si>
  <si>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</si>
  <si>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</si>
  <si>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</si>
  <si>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</si>
  <si>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</si>
  <si>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</si>
  <si>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</si>
  <si>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</si>
  <si>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</si>
  <si>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</si>
  <si>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</si>
  <si>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</si>
  <si>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</si>
  <si>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</si>
  <si>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</si>
  <si>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</si>
  <si>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</si>
  <si>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</si>
  <si>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</si>
  <si>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</si>
  <si>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</si>
  <si>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</si>
  <si>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</si>
  <si>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</si>
  <si>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</si>
  <si>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</si>
  <si>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</si>
  <si>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</si>
  <si>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</si>
  <si>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</si>
  <si>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</si>
  <si>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</si>
  <si>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</si>
  <si>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</si>
  <si>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</si>
  <si>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</si>
  <si>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</si>
  <si>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</si>
  <si>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</si>
  <si>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</si>
  <si>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</si>
  <si>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</si>
  <si>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</si>
  <si>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</si>
  <si>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</si>
  <si>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</si>
  <si>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</si>
  <si>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</si>
  <si>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</si>
  <si>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</si>
  <si>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</si>
  <si>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</si>
  <si>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</si>
  <si>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</si>
  <si>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</si>
  <si>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</si>
  <si>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</si>
  <si>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</si>
  <si>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</si>
  <si>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</si>
  <si>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</si>
  <si>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</si>
  <si>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</si>
  <si>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</si>
  <si>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</si>
  <si>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</si>
  <si>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</si>
  <si>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</si>
  <si>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</si>
  <si>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</si>
  <si>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</si>
  <si>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</si>
  <si>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</si>
  <si>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</si>
  <si>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</si>
  <si>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</si>
  <si>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</si>
  <si>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</si>
  <si>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</si>
  <si>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</si>
  <si>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</si>
  <si>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</si>
  <si>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</si>
  <si>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</si>
  <si>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</si>
  <si>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</si>
  <si>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</si>
  <si>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</si>
  <si>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</si>
  <si>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</si>
  <si>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</si>
  <si>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</si>
  <si>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</si>
  <si>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</si>
  <si>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</si>
  <si>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</si>
  <si>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</si>
  <si>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</si>
  <si>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</si>
  <si>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</si>
  <si>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</si>
  <si>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</si>
  <si>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</si>
  <si>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</si>
  <si>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</si>
  <si>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</si>
  <si>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</si>
  <si>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</si>
  <si>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</si>
  <si>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</si>
  <si>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</si>
  <si>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</si>
  <si>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</si>
  <si>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</si>
  <si>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</si>
  <si>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</si>
  <si>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</si>
  <si>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</si>
  <si>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</si>
  <si>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</si>
  <si>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</si>
  <si>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</si>
  <si>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</si>
  <si>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</si>
  <si>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</si>
  <si>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</si>
  <si>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</si>
  <si>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</si>
  <si>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</si>
  <si>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</si>
  <si>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</si>
  <si>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</si>
  <si>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</si>
  <si>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</si>
  <si>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</si>
  <si>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</si>
  <si>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</si>
  <si>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</si>
  <si>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</si>
  <si>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</si>
  <si>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</si>
  <si>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</si>
  <si>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</si>
  <si>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</si>
  <si>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</si>
  <si>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</si>
  <si>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</si>
  <si>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</si>
  <si>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</si>
  <si>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</si>
  <si>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</si>
  <si>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</si>
  <si>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</si>
  <si>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</si>
  <si>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</si>
  <si>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</si>
  <si>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</si>
  <si>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</si>
  <si>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</si>
  <si>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</si>
  <si>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</si>
  <si>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</si>
  <si>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</si>
  <si>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</si>
  <si>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</si>
  <si>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</si>
  <si>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</si>
  <si>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</si>
  <si>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</si>
  <si>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</si>
  <si>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</si>
  <si>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</si>
  <si>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</si>
  <si>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</si>
  <si>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</si>
  <si>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</si>
  <si>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</si>
  <si>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</si>
  <si>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</si>
  <si>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</si>
  <si>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</si>
  <si>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</si>
  <si>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</si>
  <si>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</si>
  <si>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</si>
  <si>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</si>
  <si>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</si>
  <si>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</si>
  <si>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</si>
  <si>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</si>
  <si>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</si>
  <si>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</si>
  <si>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</si>
  <si>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</si>
  <si>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</si>
  <si>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</si>
  <si>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</si>
  <si>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</si>
  <si>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</si>
  <si>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</si>
  <si>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</si>
  <si>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</si>
  <si>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</si>
  <si>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</si>
  <si>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</si>
  <si>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</si>
  <si>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</si>
  <si>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</si>
  <si>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</si>
  <si>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</si>
  <si>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</si>
  <si>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</si>
  <si>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</si>
  <si>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</si>
  <si>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</si>
  <si>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</si>
  <si>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</si>
  <si>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</si>
  <si>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</si>
  <si>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</si>
  <si>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</si>
  <si>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</si>
  <si>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</si>
  <si>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</si>
  <si>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</si>
  <si>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</si>
  <si>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</si>
  <si>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</si>
  <si>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</si>
  <si>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</si>
  <si>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</si>
  <si>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</si>
  <si>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</si>
  <si>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</si>
  <si>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</si>
  <si>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</si>
  <si>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</si>
  <si>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</si>
  <si>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</si>
  <si>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</si>
  <si>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</si>
  <si>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</si>
  <si>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</si>
  <si>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</si>
  <si>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</si>
  <si>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</si>
  <si>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</si>
  <si>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</si>
  <si>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</si>
  <si>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</si>
  <si>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</si>
  <si>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</si>
  <si>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</si>
  <si>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</si>
  <si>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</si>
  <si>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</si>
  <si>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</si>
  <si>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</si>
  <si>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</si>
  <si>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</si>
  <si>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</si>
  <si>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</si>
  <si>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</si>
  <si>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</si>
  <si>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</si>
  <si>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</si>
  <si>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</si>
  <si>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</si>
  <si>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</si>
  <si>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</si>
  <si>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</si>
  <si>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</si>
  <si>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</si>
  <si>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</si>
  <si>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</si>
  <si>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</si>
  <si>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</si>
  <si>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</si>
  <si>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</si>
  <si>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</si>
  <si>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</si>
  <si>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</si>
  <si>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</si>
  <si>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</si>
  <si>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</si>
  <si>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</si>
  <si>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</si>
  <si>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</si>
  <si>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</si>
  <si>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</si>
  <si>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</si>
  <si>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</si>
  <si>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</si>
  <si>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</si>
  <si>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</si>
  <si>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</si>
  <si>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</si>
  <si>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</si>
  <si>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</si>
  <si>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</si>
  <si>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</si>
  <si>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</si>
  <si>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</si>
  <si>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</si>
  <si>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</si>
  <si>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</si>
  <si>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</si>
  <si>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</si>
  <si>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</si>
  <si>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</si>
  <si>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</si>
  <si>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</si>
  <si>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</si>
  <si>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</si>
  <si>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</si>
  <si>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</si>
  <si>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</si>
  <si>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</si>
  <si>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</si>
  <si>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</si>
  <si>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</si>
  <si>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</si>
  <si>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</si>
  <si>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</si>
  <si>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</si>
  <si>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</si>
  <si>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</si>
  <si>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</si>
  <si>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</si>
  <si>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</si>
  <si>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</si>
  <si>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</si>
  <si>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</si>
  <si>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</si>
  <si>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</si>
  <si>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</si>
  <si>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</si>
  <si>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</si>
  <si>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</si>
  <si>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</si>
  <si>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</si>
  <si>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</si>
  <si>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</si>
  <si>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</si>
  <si>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</si>
  <si>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</si>
  <si>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</si>
  <si>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</si>
  <si>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</si>
  <si>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</si>
  <si>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</si>
  <si>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</si>
  <si>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</si>
  <si>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</si>
  <si>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</si>
  <si>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</si>
  <si>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</si>
  <si>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</si>
  <si>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</si>
  <si>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</si>
  <si>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</si>
  <si>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</si>
  <si>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</si>
  <si>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</si>
  <si>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</si>
  <si>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</si>
  <si>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</si>
  <si>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</si>
  <si>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</si>
  <si>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</si>
  <si>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</si>
  <si>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</si>
  <si>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</si>
  <si>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</si>
  <si>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</si>
  <si>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</si>
  <si>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</si>
  <si>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</si>
  <si>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</si>
  <si>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</si>
  <si>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</si>
  <si>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</si>
  <si>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</si>
  <si>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</si>
  <si>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</si>
  <si>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</si>
  <si>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</si>
  <si>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</si>
  <si>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</si>
  <si>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</si>
  <si>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</si>
  <si>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</si>
  <si>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</si>
  <si>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</si>
  <si>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</si>
  <si>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</si>
  <si>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</si>
  <si>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</si>
  <si>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</si>
  <si>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</si>
  <si>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</si>
  <si>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</si>
  <si>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</si>
  <si>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</si>
  <si>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</si>
  <si>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</si>
  <si>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</si>
  <si>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</si>
  <si>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</si>
  <si>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</si>
  <si>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</si>
  <si>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</si>
  <si>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</si>
  <si>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</si>
  <si>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</si>
  <si>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</si>
  <si>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</si>
  <si>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</si>
  <si>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</si>
  <si>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</si>
  <si>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</si>
  <si>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</si>
  <si>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</si>
  <si>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</si>
  <si>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</si>
  <si>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</si>
  <si>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</si>
  <si>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</si>
  <si>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</si>
  <si>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</si>
  <si>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</si>
  <si>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</si>
  <si>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</si>
  <si>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</si>
  <si>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</si>
  <si>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</si>
  <si>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</si>
  <si>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</si>
  <si>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</si>
  <si>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</si>
  <si>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</si>
  <si>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</si>
  <si>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</si>
  <si>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</si>
  <si>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</si>
  <si>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</si>
  <si>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</si>
  <si>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</si>
  <si>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</si>
  <si>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</si>
  <si>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</si>
  <si>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</si>
  <si>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</si>
  <si>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</si>
  <si>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</si>
  <si>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</si>
  <si>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</si>
  <si>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</si>
  <si>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</si>
  <si>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</si>
  <si>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</si>
  <si>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</si>
  <si>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</si>
  <si>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</si>
  <si>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</si>
  <si>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</si>
  <si>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</si>
  <si>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</si>
  <si>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</si>
  <si>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</si>
  <si>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</si>
  <si>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</si>
  <si>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</si>
  <si>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</si>
  <si>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</si>
  <si>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</si>
  <si>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</si>
  <si>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</si>
  <si>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</si>
  <si>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</si>
  <si>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</si>
  <si>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</si>
  <si>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</si>
  <si>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</si>
  <si>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</si>
  <si>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</si>
  <si>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</si>
  <si>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</si>
  <si>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</si>
  <si>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</si>
  <si>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</si>
  <si>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</si>
  <si>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</si>
  <si>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</si>
  <si>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</si>
  <si>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</si>
  <si>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</si>
  <si>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</si>
  <si>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</si>
  <si>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</si>
  <si>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</si>
  <si>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</si>
  <si>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</si>
  <si>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</si>
  <si>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</si>
  <si>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</si>
  <si>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</si>
  <si>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</si>
  <si>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</si>
  <si>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</si>
  <si>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</si>
  <si>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</si>
  <si>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</si>
  <si>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</si>
  <si>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</si>
  <si>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</si>
  <si>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</si>
  <si>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</si>
  <si>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</si>
  <si>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</si>
  <si>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</si>
  <si>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</si>
  <si>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</si>
  <si>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</si>
  <si>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</si>
  <si>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</si>
  <si>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</si>
  <si>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</si>
  <si>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</si>
  <si>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</si>
  <si>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</si>
  <si>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</si>
  <si>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</si>
  <si>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</si>
  <si>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</si>
  <si>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</si>
  <si>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</si>
  <si>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</si>
  <si>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</si>
  <si>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</si>
  <si>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</si>
  <si>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</si>
  <si>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</si>
  <si>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</si>
  <si>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</si>
  <si>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</si>
  <si>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</si>
  <si>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</si>
  <si>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</si>
  <si>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</si>
  <si>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</si>
  <si>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</si>
  <si>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</si>
  <si>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</si>
  <si>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</si>
  <si>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</si>
  <si>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</si>
  <si>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</si>
  <si>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</si>
  <si>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</si>
  <si>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</si>
  <si>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</si>
  <si>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</si>
  <si>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</si>
  <si>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</si>
  <si>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</si>
  <si>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</si>
  <si>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</si>
  <si>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</si>
  <si>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</si>
  <si>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</si>
  <si>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</si>
  <si>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</si>
  <si>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</si>
  <si>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</si>
  <si>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</si>
  <si>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</si>
  <si>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</si>
  <si>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</si>
  <si>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</si>
  <si>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</si>
  <si>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</si>
  <si>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</si>
  <si>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</si>
  <si>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</si>
  <si>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</si>
  <si>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</si>
  <si>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</si>
  <si>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</si>
  <si>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</si>
  <si>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</si>
  <si>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</si>
  <si>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</si>
  <si>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</si>
  <si>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</si>
  <si>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</si>
  <si>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</si>
  <si>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</si>
  <si>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</si>
  <si>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</si>
  <si>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</si>
  <si>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</si>
  <si>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</si>
  <si>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</si>
  <si>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</si>
  <si>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</si>
  <si>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</si>
  <si>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</si>
  <si>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</si>
  <si>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</si>
  <si>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</si>
  <si>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</si>
  <si>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</si>
  <si>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</si>
  <si>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</si>
  <si>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</si>
  <si>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</si>
  <si>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</si>
  <si>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</si>
  <si>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</si>
  <si>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</si>
  <si>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</si>
  <si>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</si>
  <si>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</si>
  <si>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</si>
  <si>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</si>
  <si>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</si>
  <si>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</si>
  <si>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</si>
  <si>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</si>
  <si>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</si>
  <si>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</si>
  <si>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</si>
  <si>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</si>
  <si>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</si>
  <si>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</si>
  <si>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</si>
  <si>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</si>
  <si>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</si>
  <si>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</si>
  <si>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</si>
  <si>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</si>
  <si>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</si>
  <si>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</si>
  <si>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</si>
  <si>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</si>
  <si>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</si>
  <si>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</si>
  <si>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</si>
  <si>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</si>
  <si>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</si>
  <si>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</si>
  <si>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</si>
  <si>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</si>
  <si>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</si>
  <si>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</si>
  <si>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</si>
  <si>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</si>
  <si>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</si>
  <si>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</si>
  <si>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</si>
  <si>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</si>
  <si>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</si>
  <si>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</si>
  <si>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</si>
  <si>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</si>
  <si>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</si>
  <si>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</si>
  <si>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</si>
  <si>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</si>
  <si>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</si>
  <si>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</si>
  <si>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</si>
  <si>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</si>
  <si>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</si>
  <si>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</si>
  <si>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</si>
  <si>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</si>
  <si>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</si>
  <si>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</si>
  <si>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</si>
  <si>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</si>
  <si>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</si>
  <si>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</si>
  <si>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</si>
  <si>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</si>
  <si>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</si>
  <si>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</si>
  <si>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</si>
  <si>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</si>
  <si>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</si>
  <si>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</si>
  <si>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</si>
  <si>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</si>
  <si>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</si>
  <si>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</si>
  <si>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</si>
  <si>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</si>
  <si>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</si>
  <si>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</si>
  <si>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</si>
  <si>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</si>
  <si>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</si>
  <si>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</si>
  <si>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</si>
  <si>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</si>
  <si>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</si>
  <si>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</si>
  <si>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</si>
  <si>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</si>
  <si>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</si>
  <si>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</si>
  <si>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</si>
  <si>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</si>
  <si>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</si>
  <si>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</si>
  <si>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</si>
  <si>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</si>
  <si>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</si>
  <si>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</si>
  <si>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</si>
  <si>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</si>
  <si>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</si>
  <si>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</si>
  <si>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</si>
  <si>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</si>
  <si>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</si>
  <si>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</si>
  <si>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</si>
  <si>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</si>
  <si>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</si>
  <si>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</si>
  <si>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</si>
  <si>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</si>
  <si>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</si>
  <si>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</si>
  <si>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</si>
  <si>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</si>
  <si>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</si>
  <si>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</si>
  <si>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</si>
  <si>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</si>
  <si>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</si>
  <si>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</si>
  <si>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</si>
  <si>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</si>
  <si>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</si>
  <si>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</si>
  <si>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</si>
  <si>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</si>
  <si>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</si>
  <si>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</si>
  <si>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</si>
  <si>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</si>
  <si>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</si>
  <si>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</si>
  <si>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</si>
  <si>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</si>
  <si>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</si>
  <si>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</si>
  <si>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</si>
  <si>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</si>
  <si>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</si>
  <si>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</si>
  <si>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</si>
  <si>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</si>
  <si>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</si>
  <si>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</si>
  <si>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</si>
  <si>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</si>
  <si>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</si>
  <si>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</si>
  <si>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</si>
  <si>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</si>
  <si>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</si>
  <si>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</si>
  <si>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</si>
  <si>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</si>
  <si>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</si>
  <si>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</si>
  <si>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</si>
  <si>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</si>
  <si>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</si>
  <si>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</si>
  <si>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</si>
  <si>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</si>
  <si>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</si>
  <si>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</si>
  <si>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</si>
  <si>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</si>
  <si>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</si>
  <si>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</si>
  <si>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</si>
  <si>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</si>
  <si>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</si>
  <si>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</si>
  <si>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</si>
  <si>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</si>
  <si>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</si>
  <si>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</si>
  <si>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</si>
  <si>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</si>
  <si>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</si>
  <si>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</si>
  <si>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</si>
  <si>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</si>
  <si>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</si>
  <si>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</si>
  <si>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</si>
  <si>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</si>
  <si>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</si>
  <si>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</si>
  <si>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</si>
  <si>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</si>
  <si>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</si>
  <si>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</si>
  <si>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</si>
  <si>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</si>
  <si>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</si>
  <si>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</si>
  <si>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</si>
  <si>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</si>
  <si>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</si>
  <si>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</si>
  <si>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</si>
  <si>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</si>
  <si>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</si>
  <si>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</si>
  <si>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</si>
  <si>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</si>
  <si>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</si>
  <si>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</si>
  <si>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</si>
  <si>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</si>
  <si>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</si>
  <si>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</si>
  <si>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</si>
  <si>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</si>
  <si>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</si>
  <si>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</si>
  <si>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</si>
  <si>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</si>
  <si>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</si>
  <si>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</si>
  <si>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</si>
  <si>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</si>
  <si>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</si>
  <si>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</si>
  <si>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</si>
  <si>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</si>
  <si>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</si>
  <si>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</si>
  <si>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</si>
  <si>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</si>
  <si>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</si>
  <si>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</si>
  <si>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</si>
  <si>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</si>
  <si>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</si>
  <si>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</si>
  <si>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</si>
  <si>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</si>
  <si>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</si>
  <si>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</si>
  <si>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</si>
  <si>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</si>
  <si>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</si>
  <si>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</si>
  <si>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</si>
  <si>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</si>
  <si>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</si>
  <si>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</si>
  <si>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</si>
  <si>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</si>
  <si>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</si>
  <si>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</si>
  <si>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</si>
  <si>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</si>
  <si>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</si>
  <si>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</si>
  <si>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</si>
  <si>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</si>
  <si>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</si>
  <si>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</si>
  <si>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</si>
  <si>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</si>
  <si>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</si>
  <si>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</si>
  <si>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</si>
  <si>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</si>
  <si>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</si>
  <si>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</si>
  <si>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</si>
  <si>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</si>
  <si>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</si>
  <si>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</si>
  <si>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</si>
  <si>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</si>
  <si>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</si>
  <si>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</si>
  <si>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</si>
  <si>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</si>
  <si>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</si>
  <si>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</si>
  <si>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</si>
  <si>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</si>
  <si>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</si>
  <si>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</si>
  <si>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</si>
  <si>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</si>
  <si>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</si>
  <si>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</si>
  <si>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</si>
  <si>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</si>
  <si>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</si>
  <si>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</si>
  <si>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</si>
  <si>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</si>
  <si>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</si>
  <si>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</si>
  <si>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</si>
  <si>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</si>
  <si>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</si>
  <si>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</si>
  <si>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</si>
  <si>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</si>
  <si>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</si>
  <si>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</si>
  <si>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</si>
  <si>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</si>
  <si>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</si>
  <si>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</si>
  <si>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</si>
  <si>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</si>
  <si>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</si>
  <si>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</si>
  <si>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</si>
  <si>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</si>
  <si>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</si>
  <si>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</si>
  <si>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</si>
  <si>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</si>
  <si>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</si>
  <si>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</si>
  <si>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</si>
  <si>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</si>
  <si>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</si>
  <si>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</si>
  <si>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</si>
  <si>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</si>
  <si>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</si>
  <si>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</si>
  <si>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</si>
  <si>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</si>
  <si>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</si>
  <si>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</si>
  <si>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</si>
  <si>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</si>
  <si>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</si>
  <si>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</si>
  <si>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</si>
  <si>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</si>
  <si>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</si>
  <si>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</si>
  <si>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</si>
  <si>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</si>
  <si>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</si>
  <si>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</si>
  <si>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</si>
  <si>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</si>
  <si>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</si>
  <si>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</si>
  <si>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</si>
  <si>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</si>
  <si>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</si>
  <si>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</si>
  <si>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</si>
  <si>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</si>
  <si>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</si>
  <si>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</si>
  <si>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</si>
  <si>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</si>
  <si>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</si>
  <si>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</si>
  <si>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</si>
  <si>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</si>
  <si>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</si>
  <si>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</si>
  <si>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</si>
  <si>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</si>
  <si>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</si>
  <si>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</si>
  <si>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</si>
  <si>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</si>
  <si>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</si>
  <si>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</si>
  <si>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</si>
  <si>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</si>
  <si>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</si>
  <si>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</si>
  <si>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</si>
  <si>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</si>
  <si>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</si>
  <si>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</si>
  <si>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</si>
  <si>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</si>
  <si>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</si>
  <si>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</si>
  <si>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</si>
  <si>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</si>
  <si>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</si>
  <si>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</si>
  <si>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</si>
  <si>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</si>
  <si>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</si>
  <si>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</si>
  <si>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</si>
  <si>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</si>
  <si>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</si>
  <si>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</si>
  <si>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</si>
  <si>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</si>
  <si>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</si>
  <si>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</si>
  <si>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</si>
  <si>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</si>
  <si>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</si>
  <si>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</si>
  <si>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</si>
  <si>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</si>
  <si>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</si>
  <si>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</si>
  <si>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</si>
  <si>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</si>
  <si>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</si>
  <si>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</si>
  <si>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</si>
  <si>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</si>
  <si>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</si>
  <si>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</si>
  <si>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</si>
  <si>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</si>
  <si>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</si>
  <si>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</si>
  <si>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</si>
  <si>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</si>
  <si>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</si>
  <si>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</si>
  <si>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</si>
  <si>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</si>
  <si>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</si>
  <si>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</si>
  <si>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</si>
  <si>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</si>
  <si>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</si>
  <si>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</si>
  <si>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</si>
  <si>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</si>
  <si>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</si>
  <si>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</si>
  <si>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</si>
  <si>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</si>
  <si>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</si>
  <si>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</si>
  <si>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</si>
  <si>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</si>
  <si>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</si>
  <si>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</si>
  <si>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</si>
  <si>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</si>
  <si>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</si>
  <si>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</si>
  <si>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</si>
  <si>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</si>
  <si>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</si>
  <si>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</si>
  <si>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</si>
  <si>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</si>
  <si>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</si>
  <si>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</si>
  <si>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</si>
  <si>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</si>
  <si>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</si>
  <si>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</si>
  <si>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</si>
  <si>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</si>
  <si>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</si>
  <si>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</si>
  <si>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</si>
  <si>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</si>
  <si>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</si>
  <si>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</si>
  <si>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</si>
  <si>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</si>
  <si>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</si>
  <si>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</si>
  <si>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</si>
  <si>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</si>
  <si>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</si>
  <si>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</si>
  <si>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</si>
  <si>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</si>
  <si>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</si>
  <si>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</si>
  <si>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</si>
  <si>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</si>
  <si>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</si>
  <si>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</si>
  <si>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</si>
  <si>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</si>
  <si>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</si>
  <si>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</si>
  <si>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</si>
  <si>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</si>
  <si>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</si>
  <si>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</si>
  <si>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</si>
  <si>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</si>
  <si>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</si>
  <si>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</si>
  <si>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</si>
  <si>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</si>
  <si>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</si>
  <si>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</si>
  <si>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</si>
  <si>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</si>
  <si>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</si>
  <si>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</si>
  <si>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</si>
  <si>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</si>
  <si>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</si>
  <si>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</si>
  <si>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</si>
  <si>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</si>
  <si>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</si>
  <si>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</si>
  <si>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</si>
  <si>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</si>
  <si>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</si>
  <si>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</si>
  <si>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</si>
  <si>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</si>
  <si>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</si>
  <si>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</si>
  <si>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</si>
  <si>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</si>
  <si>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</si>
  <si>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</si>
  <si>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</si>
  <si>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</si>
  <si>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</si>
  <si>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</si>
  <si>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</si>
  <si>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</si>
  <si>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</si>
  <si>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</si>
  <si>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</si>
  <si>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</si>
  <si>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</si>
  <si>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</si>
  <si>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</si>
  <si>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</si>
  <si>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</si>
  <si>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</si>
  <si>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</si>
  <si>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</si>
  <si>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</si>
  <si>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</si>
  <si>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</si>
  <si>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</si>
  <si>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</si>
  <si>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</si>
  <si>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</si>
  <si>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</si>
  <si>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</si>
  <si>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</si>
  <si>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</si>
  <si>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</si>
  <si>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</si>
  <si>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</si>
  <si>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</si>
  <si>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</si>
  <si>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</si>
  <si>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</si>
  <si>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</si>
  <si>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</si>
  <si>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</si>
  <si>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</si>
  <si>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</si>
  <si>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</si>
  <si>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</si>
  <si>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</si>
  <si>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</si>
  <si>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</si>
  <si>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</si>
  <si>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</si>
  <si>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</si>
  <si>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</si>
  <si>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</si>
  <si>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</si>
  <si>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</si>
  <si>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</si>
  <si>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</si>
  <si>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</si>
  <si>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</si>
  <si>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</si>
  <si>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</si>
  <si>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</si>
  <si>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</si>
  <si>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</si>
  <si>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</si>
  <si>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</si>
  <si>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</si>
  <si>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</si>
  <si>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</si>
  <si>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</si>
  <si>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</si>
  <si>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</si>
  <si>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</si>
  <si>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</si>
  <si>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</si>
  <si>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</si>
  <si>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</si>
  <si>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</si>
  <si>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</si>
  <si>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</si>
  <si>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</si>
  <si>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</si>
  <si>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</si>
  <si>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</si>
  <si>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</si>
  <si>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</si>
  <si>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</si>
  <si>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</si>
  <si>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</si>
  <si>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</si>
  <si>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</si>
  <si>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</si>
  <si>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</si>
  <si>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</si>
  <si>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</si>
  <si>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</si>
  <si>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</si>
  <si>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</si>
  <si>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</si>
  <si>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</si>
  <si>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</si>
  <si>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</si>
  <si>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</si>
  <si>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</si>
  <si>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</si>
  <si>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</si>
  <si>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</si>
  <si>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</si>
  <si>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</si>
  <si>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</si>
  <si>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</si>
  <si>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</si>
  <si>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</si>
  <si>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</si>
  <si>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</si>
  <si>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</si>
  <si>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</si>
  <si>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</si>
  <si>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</si>
  <si>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</si>
  <si>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</si>
  <si>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</si>
  <si>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</si>
  <si>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</si>
  <si>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</si>
  <si>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</si>
  <si>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</si>
  <si>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</si>
  <si>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</si>
  <si>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</si>
  <si>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</si>
  <si>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</si>
  <si>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</si>
  <si>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</si>
  <si>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</si>
  <si>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</si>
  <si>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</si>
  <si>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</si>
  <si>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</si>
  <si>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</si>
  <si>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</si>
  <si>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</si>
  <si>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</si>
  <si>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</si>
  <si>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</si>
  <si>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</si>
  <si>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</si>
  <si>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</si>
  <si>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</si>
  <si>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</si>
  <si>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</si>
  <si>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</si>
  <si>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</si>
  <si>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</si>
  <si>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</si>
  <si>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</si>
  <si>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</si>
  <si>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</si>
  <si>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</si>
  <si>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</si>
  <si>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</si>
  <si>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</si>
  <si>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</si>
  <si>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</si>
  <si>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</si>
  <si>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</si>
  <si>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</si>
  <si>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</si>
  <si>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</si>
  <si>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</si>
  <si>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</si>
  <si>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</si>
  <si>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</si>
  <si>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</si>
  <si>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</si>
  <si>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</si>
  <si>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</si>
  <si>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</si>
  <si>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</si>
  <si>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</si>
  <si>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</si>
  <si>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</si>
  <si>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</si>
  <si>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</si>
  <si>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</si>
  <si>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</si>
  <si>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</si>
  <si>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</si>
  <si>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</si>
  <si>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</si>
  <si>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</si>
  <si>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</si>
  <si>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</si>
  <si>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</si>
  <si>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</si>
  <si>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</si>
  <si>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</si>
  <si>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</si>
  <si>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</si>
  <si>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</si>
  <si>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</si>
  <si>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</si>
  <si>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</si>
  <si>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</si>
  <si>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</si>
  <si>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</si>
  <si>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</si>
  <si>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</si>
  <si>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</si>
  <si>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</si>
  <si>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</si>
  <si>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</si>
  <si>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</si>
  <si>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</si>
  <si>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</si>
  <si>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</si>
  <si>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</si>
  <si>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</si>
  <si>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</si>
  <si>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</si>
  <si>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</si>
  <si>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</si>
  <si>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</si>
  <si>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</si>
  <si>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</si>
  <si>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</si>
  <si>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</si>
  <si>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</si>
  <si>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</si>
  <si>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</si>
  <si>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</si>
  <si>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</si>
  <si>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</si>
  <si>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</si>
  <si>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</si>
  <si>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</si>
  <si>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</si>
  <si>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</si>
  <si>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</si>
  <si>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</si>
  <si>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</si>
  <si>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</si>
  <si>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</si>
  <si>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</si>
  <si>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</si>
  <si>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</si>
  <si>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</si>
  <si>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</si>
  <si>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</si>
  <si>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</si>
  <si>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</si>
  <si>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</si>
  <si>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</si>
  <si>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</si>
  <si>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</si>
  <si>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</si>
  <si>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</si>
  <si>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</si>
  <si>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</si>
  <si>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</si>
  <si>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</si>
  <si>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</si>
  <si>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</si>
  <si>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</si>
  <si>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</si>
  <si>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</si>
  <si>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</si>
  <si>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</si>
  <si>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</si>
  <si>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</si>
  <si>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</si>
  <si>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</si>
  <si>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</si>
  <si>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</si>
  <si>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</si>
  <si>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</si>
  <si>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</si>
  <si>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</si>
  <si>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</si>
  <si>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</si>
  <si>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</si>
  <si>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</si>
  <si>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</si>
  <si>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</si>
  <si>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</si>
  <si>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</si>
  <si>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</si>
  <si>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</si>
  <si>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</si>
  <si>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</si>
  <si>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</si>
  <si>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</si>
  <si>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</si>
  <si>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</si>
  <si>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</si>
  <si>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</si>
  <si>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</si>
  <si>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</si>
  <si>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</si>
  <si>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</si>
  <si>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</si>
  <si>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</si>
  <si>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</si>
  <si>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</si>
  <si>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</si>
  <si>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</si>
  <si>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</si>
  <si>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</si>
  <si>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</si>
  <si>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</si>
  <si>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</si>
  <si>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</si>
  <si>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</si>
  <si>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</si>
  <si>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</si>
  <si>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</si>
  <si>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</si>
  <si>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</si>
  <si>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</si>
  <si>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</si>
  <si>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</si>
  <si>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</si>
  <si>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</si>
  <si>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</si>
  <si>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</si>
  <si>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</si>
  <si>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</si>
  <si>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</si>
  <si>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</si>
  <si>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</si>
  <si>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</si>
  <si>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</si>
  <si>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</si>
  <si>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</si>
  <si>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</si>
  <si>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</si>
  <si>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</si>
  <si>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</si>
  <si>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</si>
  <si>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</si>
  <si>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</si>
  <si>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</si>
  <si>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</si>
  <si>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</si>
  <si>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</si>
  <si>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</si>
  <si>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</si>
  <si>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</si>
  <si>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</si>
  <si>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</si>
  <si>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</si>
  <si>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</si>
  <si>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</si>
  <si>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</si>
  <si>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</si>
  <si>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</si>
  <si>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</si>
  <si>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</si>
  <si>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</si>
  <si>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</si>
  <si>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</si>
  <si>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</si>
  <si>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</si>
  <si>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</si>
  <si>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</si>
  <si>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</si>
  <si>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</si>
  <si>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</si>
  <si>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</si>
  <si>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</si>
  <si>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</si>
  <si>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</si>
  <si>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</si>
  <si>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</si>
  <si>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</si>
  <si>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</si>
  <si>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</si>
  <si>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</si>
  <si>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</si>
  <si>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</si>
  <si>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</si>
  <si>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</si>
  <si>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</si>
  <si>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</si>
  <si>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</si>
  <si>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</si>
  <si>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</si>
  <si>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</si>
  <si>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</si>
  <si>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</si>
  <si>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</si>
  <si>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</si>
  <si>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</si>
  <si>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</si>
  <si>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</si>
  <si>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</si>
  <si>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</si>
  <si>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</si>
  <si>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</si>
  <si>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</si>
  <si>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</si>
  <si>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</si>
  <si>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</si>
  <si>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</si>
  <si>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</si>
  <si>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</si>
  <si>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</si>
  <si>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</si>
  <si>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</si>
  <si>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</si>
  <si>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</si>
  <si>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</si>
  <si>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</si>
  <si>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</si>
  <si>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</si>
  <si>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</si>
  <si>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</si>
  <si>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</si>
  <si>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</si>
  <si>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</si>
  <si>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</si>
  <si>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</si>
  <si>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</si>
  <si>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</si>
  <si>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</si>
  <si>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</si>
  <si>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</si>
  <si>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</si>
  <si>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</si>
  <si>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</si>
  <si>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</si>
  <si>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</si>
  <si>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</si>
  <si>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</si>
  <si>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</si>
  <si>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</si>
  <si>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</si>
  <si>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</si>
  <si>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</si>
  <si>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</si>
  <si>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</si>
  <si>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</si>
  <si>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</si>
  <si>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</si>
  <si>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</si>
  <si>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</si>
  <si>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</si>
  <si>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</si>
  <si>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</si>
  <si>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</si>
  <si>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</si>
  <si>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</si>
  <si>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</si>
  <si>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</si>
  <si>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</si>
  <si>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</si>
  <si>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</si>
  <si>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</si>
  <si>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</si>
  <si>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</si>
  <si>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</si>
  <si>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</si>
  <si>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</si>
  <si>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</si>
  <si>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</si>
  <si>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</si>
  <si>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</si>
  <si>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</si>
  <si>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</si>
  <si>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</si>
  <si>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</si>
  <si>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</si>
  <si>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</si>
  <si>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</si>
  <si>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</si>
  <si>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</si>
  <si>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</si>
  <si>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</si>
  <si>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</si>
  <si>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</si>
  <si>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</si>
  <si>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</si>
  <si>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</si>
  <si>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</si>
  <si>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</si>
  <si>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</si>
  <si>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</si>
  <si>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</si>
  <si>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</si>
  <si>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</si>
  <si>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</si>
  <si>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</si>
  <si>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</si>
  <si>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</si>
  <si>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</si>
  <si>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</si>
  <si>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</si>
  <si>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</si>
  <si>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</si>
  <si>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</si>
  <si>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</si>
  <si>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</si>
  <si>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</si>
  <si>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</si>
  <si>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</si>
  <si>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</si>
  <si>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</si>
  <si>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</si>
  <si>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</si>
  <si>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</si>
  <si>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</si>
  <si>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</si>
  <si>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</si>
  <si>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</si>
  <si>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</si>
  <si>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</si>
  <si>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</si>
  <si>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</si>
  <si>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</si>
  <si>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</si>
  <si>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</si>
  <si>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</si>
  <si>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</si>
  <si>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</si>
  <si>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</si>
  <si>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</si>
  <si>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</si>
  <si>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</si>
  <si>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</si>
  <si>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</si>
  <si>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</si>
  <si>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</si>
  <si>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</si>
  <si>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</si>
  <si>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</si>
  <si>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</si>
  <si>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</si>
  <si>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</si>
  <si>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</si>
  <si>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</si>
  <si>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</si>
  <si>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</si>
  <si>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</si>
  <si>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</si>
  <si>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</si>
  <si>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</si>
  <si>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</si>
  <si>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</si>
  <si>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</si>
  <si>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</si>
  <si>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</si>
  <si>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</si>
  <si>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</si>
  <si>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</si>
  <si>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</si>
  <si>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</si>
  <si>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</si>
  <si>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</si>
  <si>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</si>
  <si>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</si>
  <si>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</si>
  <si>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</si>
  <si>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</si>
  <si>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</si>
  <si>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</si>
  <si>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</si>
  <si>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</si>
  <si>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</si>
  <si>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</si>
  <si>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</si>
  <si>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</si>
  <si>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</si>
  <si>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</si>
  <si>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</si>
  <si>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</si>
  <si>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</si>
  <si>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</si>
  <si>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</si>
  <si>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</si>
  <si>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</si>
  <si>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</si>
  <si>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</si>
  <si>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</si>
  <si>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</si>
  <si>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</si>
  <si>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</si>
  <si>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</si>
  <si>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</si>
  <si>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</si>
  <si>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</si>
  <si>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</si>
  <si>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</si>
  <si>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</si>
  <si>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</si>
  <si>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</si>
  <si>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</si>
  <si>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</si>
  <si>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</si>
  <si>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</si>
  <si>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</si>
  <si>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</si>
  <si>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</si>
  <si>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</si>
  <si>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</si>
  <si>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</si>
  <si>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</si>
  <si>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</si>
  <si>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</si>
  <si>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</si>
  <si>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</si>
  <si>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</si>
  <si>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</si>
  <si>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</si>
  <si>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</si>
  <si>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</si>
  <si>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</si>
  <si>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</si>
  <si>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</si>
  <si>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</si>
  <si>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</si>
  <si>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</si>
  <si>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</si>
  <si>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</si>
  <si>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</si>
  <si>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</si>
  <si>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</si>
  <si>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</si>
  <si>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</si>
  <si>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</si>
  <si>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</si>
  <si>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</si>
  <si>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</si>
  <si>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</si>
  <si>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</si>
  <si>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</si>
  <si>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</si>
  <si>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</si>
  <si>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</si>
  <si>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</si>
  <si>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</si>
  <si>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</si>
  <si>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</si>
  <si>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</si>
  <si>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</si>
  <si>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</si>
  <si>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</si>
  <si>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</si>
  <si>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</si>
  <si>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</si>
  <si>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</si>
  <si>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</si>
  <si>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</si>
  <si>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</si>
  <si>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</si>
  <si>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</si>
  <si>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</si>
  <si>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</si>
  <si>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</si>
  <si>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</si>
  <si>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</si>
  <si>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</si>
  <si>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</si>
  <si>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</si>
  <si>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</si>
  <si>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</si>
  <si>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</si>
  <si>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</si>
  <si>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</si>
  <si>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</si>
  <si>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</si>
  <si>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</si>
  <si>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</si>
  <si>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</si>
  <si>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</si>
  <si>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</si>
  <si>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</si>
  <si>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</si>
  <si>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</si>
  <si>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</si>
  <si>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</si>
  <si>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</si>
  <si>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</si>
  <si>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</si>
  <si>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</si>
  <si>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</si>
  <si>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</si>
  <si>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</si>
  <si>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</si>
  <si>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</si>
  <si>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</si>
  <si>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</si>
  <si>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</si>
  <si>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</si>
  <si>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</si>
  <si>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</si>
  <si>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</si>
  <si>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</si>
  <si>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</si>
  <si>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</si>
  <si>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</si>
  <si>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</si>
  <si>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</si>
  <si>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</si>
  <si>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</si>
  <si>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</si>
  <si>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</si>
  <si>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</si>
  <si>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</si>
  <si>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</si>
  <si>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</si>
  <si>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</si>
  <si>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</si>
  <si>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</si>
  <si>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</si>
  <si>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</si>
  <si>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</si>
  <si>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</si>
  <si>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</si>
  <si>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</si>
  <si>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</si>
  <si>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</si>
  <si>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</si>
  <si>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</si>
  <si>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</si>
  <si>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</si>
  <si>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</si>
  <si>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</si>
  <si>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</si>
  <si>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</si>
  <si>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</si>
  <si>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</si>
  <si>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</si>
  <si>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</si>
  <si>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</si>
  <si>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</si>
  <si>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</si>
  <si>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</si>
  <si>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</si>
  <si>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</si>
  <si>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</si>
  <si>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</si>
  <si>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</si>
  <si>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</si>
  <si>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</si>
  <si>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</si>
  <si>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</si>
  <si>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</si>
  <si>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</si>
  <si>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</si>
  <si>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</si>
  <si>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</si>
  <si>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</si>
  <si>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</si>
  <si>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</si>
  <si>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</si>
  <si>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</si>
  <si>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</si>
  <si>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</si>
  <si>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</si>
  <si>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</si>
  <si>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</si>
  <si>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</si>
  <si>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</si>
  <si>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</si>
  <si>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</si>
  <si>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</si>
  <si>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</si>
  <si>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</si>
  <si>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</si>
  <si>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</si>
  <si>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</si>
  <si>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</si>
  <si>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</si>
  <si>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</si>
  <si>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</si>
  <si>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</si>
  <si>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</si>
  <si>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</si>
  <si>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</si>
  <si>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</si>
  <si>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</si>
  <si>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</si>
  <si>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</si>
  <si>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</si>
  <si>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</si>
  <si>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</si>
  <si>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</si>
  <si>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</si>
  <si>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</si>
  <si>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</si>
  <si>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</si>
  <si>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</si>
  <si>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</si>
  <si>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</si>
  <si>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</si>
  <si>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</si>
  <si>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</si>
  <si>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</si>
  <si>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</si>
  <si>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</si>
  <si>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</si>
  <si>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</si>
  <si>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</si>
  <si>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</si>
  <si>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</si>
  <si>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</si>
  <si>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</si>
  <si>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</si>
  <si>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</si>
  <si>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</si>
  <si>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</si>
  <si>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</si>
  <si>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</si>
  <si>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</si>
  <si>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</si>
  <si>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</si>
  <si>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</si>
  <si>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</si>
  <si>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</si>
  <si>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</si>
  <si>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</si>
  <si>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</si>
  <si>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</si>
  <si>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</si>
  <si>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</si>
  <si>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</si>
  <si>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</si>
  <si>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</si>
  <si>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</si>
  <si>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</si>
  <si>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</si>
  <si>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</si>
  <si>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</si>
  <si>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</si>
  <si>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</si>
  <si>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</si>
  <si>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</si>
  <si>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</si>
  <si>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</si>
  <si>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</si>
  <si>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</si>
  <si>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</si>
  <si>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</si>
  <si>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</si>
  <si>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</si>
  <si>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</si>
  <si>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</si>
  <si>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</si>
  <si>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</si>
  <si>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</si>
  <si>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</si>
  <si>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</si>
  <si>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</si>
  <si>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</si>
  <si>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</si>
  <si>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</si>
  <si>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</si>
  <si>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</si>
  <si>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</si>
  <si>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</si>
  <si>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</si>
  <si>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</si>
  <si>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</si>
  <si>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</si>
  <si>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</si>
  <si>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</si>
  <si>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</si>
  <si>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</si>
  <si>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</si>
  <si>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</si>
  <si>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</si>
  <si>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</si>
  <si>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</si>
  <si>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</si>
  <si>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</si>
  <si>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</si>
  <si>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</si>
  <si>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</si>
  <si>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</si>
  <si>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</si>
  <si>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</si>
  <si>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</si>
  <si>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</si>
  <si>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</si>
  <si>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</si>
  <si>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</si>
  <si>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</si>
  <si>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</si>
  <si>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</si>
  <si>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</si>
  <si>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</si>
  <si>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</si>
  <si>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</si>
  <si>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</si>
  <si>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</si>
  <si>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</si>
  <si>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</si>
  <si>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</si>
  <si>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</si>
  <si>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</si>
  <si>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</si>
  <si>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</si>
  <si>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</si>
  <si>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</si>
  <si>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</si>
  <si>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</si>
  <si>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</si>
  <si>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</si>
  <si>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</si>
  <si>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</si>
  <si>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</si>
  <si>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</si>
  <si>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</si>
  <si>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</si>
  <si>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</si>
  <si>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</si>
  <si>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</si>
  <si>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</si>
  <si>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</si>
  <si>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</si>
  <si>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</si>
  <si>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</si>
  <si>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</si>
  <si>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</si>
  <si>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</si>
  <si>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</si>
  <si>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</si>
  <si>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</si>
  <si>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</si>
  <si>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</si>
  <si>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</si>
  <si>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</si>
  <si>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</si>
  <si>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</si>
  <si>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</si>
  <si>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</si>
  <si>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</si>
  <si>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</si>
  <si>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</si>
  <si>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</si>
  <si>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</si>
  <si>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</si>
  <si>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</si>
  <si>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</si>
  <si>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</si>
  <si>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</si>
  <si>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</si>
  <si>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</si>
  <si>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</si>
  <si>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</si>
  <si>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</si>
  <si>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</si>
  <si>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</si>
  <si>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</si>
  <si>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</si>
  <si>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</si>
  <si>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</si>
  <si>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</si>
  <si>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</si>
  <si>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</si>
  <si>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</si>
  <si>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</si>
  <si>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</si>
  <si>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</si>
  <si>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</si>
  <si>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</si>
  <si>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</si>
  <si>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</si>
  <si>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</si>
  <si>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</si>
  <si>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</si>
  <si>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</si>
  <si>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</si>
  <si>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</si>
  <si>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</si>
  <si>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</si>
  <si>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</si>
  <si>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</si>
  <si>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</si>
  <si>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</si>
  <si>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</si>
  <si>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</si>
  <si>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</si>
  <si>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</si>
  <si>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</si>
  <si>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</si>
  <si>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</si>
  <si>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</si>
  <si>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</si>
  <si>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</si>
  <si>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</si>
  <si>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</si>
  <si>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</si>
  <si>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</si>
  <si>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</si>
  <si>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</si>
  <si>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</si>
  <si>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</si>
  <si>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</si>
  <si>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</si>
  <si>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</si>
  <si>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</si>
  <si>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</si>
  <si>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</si>
  <si>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</si>
  <si>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</si>
  <si>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</si>
  <si>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</si>
  <si>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</si>
  <si>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</si>
  <si>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</si>
  <si>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</si>
  <si>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</si>
  <si>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</si>
  <si>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</si>
  <si>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</si>
  <si>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</si>
  <si>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</si>
  <si>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</si>
  <si>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</si>
  <si>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</si>
  <si>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</si>
  <si>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</si>
  <si>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</si>
  <si>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</si>
  <si>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</si>
  <si>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</si>
  <si>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</si>
  <si>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</si>
  <si>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</si>
  <si>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</si>
  <si>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</si>
  <si>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</si>
  <si>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</si>
  <si>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</si>
  <si>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</si>
  <si>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</si>
  <si>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</si>
  <si>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</si>
  <si>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</si>
  <si>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</si>
  <si>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</si>
  <si>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</si>
  <si>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</si>
  <si>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</si>
  <si>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</si>
  <si>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</si>
  <si>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</si>
  <si>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</si>
  <si>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</si>
  <si>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</si>
  <si>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</si>
  <si>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</si>
  <si>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</si>
  <si>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</si>
  <si>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</si>
  <si>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</si>
  <si>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</si>
  <si>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</si>
  <si>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</si>
  <si>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</si>
  <si>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</si>
  <si>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</si>
  <si>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</si>
  <si>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</si>
  <si>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</si>
  <si>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</si>
  <si>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</si>
  <si>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</si>
  <si>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</si>
  <si>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</si>
  <si>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</si>
  <si>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</si>
  <si>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</si>
  <si>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</si>
  <si>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</si>
  <si>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</si>
  <si>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</si>
  <si>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</si>
  <si>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</si>
  <si>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</si>
  <si>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</si>
  <si>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</si>
  <si>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</si>
  <si>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</si>
  <si>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</si>
  <si>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</si>
  <si>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</si>
  <si>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</si>
  <si>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</si>
  <si>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</si>
  <si>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</si>
  <si>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</si>
  <si>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</si>
  <si>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</si>
  <si>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</si>
  <si>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</si>
  <si>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</si>
  <si>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</si>
  <si>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</si>
  <si>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</si>
  <si>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</si>
  <si>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</si>
  <si>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</si>
  <si>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</si>
  <si>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</si>
  <si>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</si>
  <si>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</si>
  <si>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</si>
  <si>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</si>
  <si>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</si>
  <si>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</si>
  <si>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</si>
  <si>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</si>
  <si>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</si>
  <si>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</si>
  <si>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</si>
  <si>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</si>
  <si>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</si>
  <si>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</si>
  <si>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</si>
  <si>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</si>
  <si>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</si>
  <si>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</si>
  <si>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</si>
  <si>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</si>
  <si>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</si>
  <si>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</si>
  <si>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</si>
  <si>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</si>
  <si>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</si>
  <si>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</si>
  <si>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</si>
  <si>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</si>
  <si>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</si>
  <si>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</si>
  <si>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</si>
  <si>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</si>
  <si>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</si>
  <si>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</si>
  <si>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</si>
  <si>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</si>
  <si>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</si>
  <si>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</si>
  <si>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</si>
  <si>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</si>
  <si>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</si>
  <si>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</si>
  <si>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</si>
  <si>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</si>
  <si>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</si>
  <si>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</si>
  <si>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</si>
  <si>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</si>
  <si>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</si>
  <si>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</si>
  <si>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</si>
  <si>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</si>
  <si>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</si>
  <si>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</si>
  <si>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</si>
  <si>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</si>
  <si>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</si>
  <si>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</si>
  <si>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</si>
  <si>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</si>
  <si>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</si>
  <si>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</si>
  <si>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</si>
  <si>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</si>
  <si>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</si>
  <si>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</si>
  <si>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</si>
  <si>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</si>
  <si>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</si>
  <si>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</si>
  <si>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</si>
  <si>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</si>
  <si>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</si>
  <si>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</si>
  <si>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</si>
  <si>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</si>
  <si>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</si>
  <si>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</si>
  <si>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</si>
  <si>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</si>
  <si>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</si>
  <si>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</si>
  <si>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</si>
  <si>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</si>
  <si>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</si>
  <si>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</si>
  <si>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</si>
  <si>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</si>
  <si>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</si>
  <si>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</si>
  <si>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</si>
  <si>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</si>
  <si>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</si>
  <si>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</si>
  <si>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</si>
  <si>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</si>
  <si>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</si>
  <si>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</si>
  <si>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</si>
  <si>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</si>
  <si>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</si>
  <si>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</si>
  <si>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</si>
  <si>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</si>
  <si>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</si>
  <si>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</si>
  <si>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</si>
  <si>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</si>
  <si>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</si>
  <si>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</si>
  <si>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</si>
  <si>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</si>
  <si>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</si>
  <si>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</si>
  <si>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</si>
  <si>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</si>
  <si>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</si>
  <si>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</si>
  <si>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</si>
  <si>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</si>
  <si>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</si>
  <si>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</si>
  <si>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</si>
  <si>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</si>
  <si>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</si>
  <si>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</si>
  <si>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</si>
  <si>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</si>
  <si>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</si>
  <si>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</si>
  <si>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</si>
  <si>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</si>
  <si>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</si>
  <si>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</si>
  <si>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</si>
  <si>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</si>
  <si>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</si>
  <si>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</si>
  <si>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</si>
  <si>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</si>
  <si>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</si>
  <si>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</si>
  <si>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</si>
  <si>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</si>
  <si>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</si>
  <si>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</si>
  <si>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</si>
  <si>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</si>
  <si>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</si>
  <si>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</si>
  <si>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</si>
  <si>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</si>
  <si>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</si>
  <si>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</si>
  <si>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</si>
  <si>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</si>
  <si>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</si>
  <si>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</si>
  <si>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</si>
  <si>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</si>
  <si>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</si>
  <si>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</si>
  <si>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</si>
  <si>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</si>
  <si>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</si>
  <si>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</si>
  <si>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</si>
  <si>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</si>
  <si>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</si>
  <si>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</si>
  <si>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</si>
  <si>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</si>
  <si>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</si>
  <si>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</si>
  <si>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</si>
  <si>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</si>
  <si>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</si>
  <si>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</si>
  <si>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</si>
  <si>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</si>
  <si>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</si>
  <si>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</si>
  <si>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</si>
  <si>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</si>
  <si>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</si>
  <si>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</si>
  <si>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</si>
  <si>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</si>
  <si>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</si>
  <si>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</si>
  <si>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</si>
  <si>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</si>
  <si>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</si>
  <si>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</si>
  <si>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</si>
  <si>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</si>
  <si>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</si>
  <si>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</si>
  <si>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</si>
  <si>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</si>
  <si>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</si>
  <si>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</si>
  <si>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</si>
  <si>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</si>
  <si>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</si>
  <si>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</si>
  <si>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</si>
  <si>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</si>
  <si>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</si>
  <si>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</si>
  <si>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</si>
  <si>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</si>
  <si>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</si>
  <si>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</si>
  <si>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</si>
  <si>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</si>
  <si>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</si>
  <si>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</si>
  <si>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</si>
  <si>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</si>
  <si>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</si>
  <si>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</si>
  <si>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</si>
  <si>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</si>
  <si>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</si>
  <si>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</si>
  <si>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</si>
  <si>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</si>
  <si>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</si>
  <si>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</si>
  <si>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</si>
  <si>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</si>
  <si>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</si>
  <si>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</si>
  <si>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</si>
  <si>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</si>
  <si>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</si>
  <si>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</si>
  <si>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</si>
  <si>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</si>
  <si>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</si>
  <si>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</si>
  <si>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</si>
  <si>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</si>
  <si>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</si>
  <si>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</si>
  <si>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</si>
  <si>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</si>
  <si>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</si>
  <si>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</si>
  <si>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</si>
  <si>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</si>
  <si>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</si>
  <si>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</si>
  <si>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</si>
  <si>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</si>
  <si>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</si>
  <si>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</si>
  <si>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</si>
  <si>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</si>
  <si>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</si>
  <si>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</si>
  <si>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</si>
  <si>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</si>
  <si>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</si>
  <si>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</si>
  <si>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</si>
  <si>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</si>
  <si>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</si>
  <si>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</si>
  <si>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</si>
  <si>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</si>
  <si>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</si>
  <si>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</si>
  <si>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</si>
  <si>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</si>
  <si>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</si>
  <si>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</si>
  <si>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</si>
  <si>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</si>
  <si>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</si>
  <si>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</si>
  <si>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</si>
  <si>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</si>
  <si>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</si>
  <si>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</si>
  <si>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</si>
  <si>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</si>
  <si>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</si>
  <si>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</si>
  <si>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</si>
  <si>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</si>
  <si>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</si>
  <si>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</si>
  <si>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</si>
  <si>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</si>
  <si>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</si>
  <si>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</si>
  <si>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</si>
  <si>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</si>
  <si>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</si>
  <si>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</si>
  <si>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</si>
  <si>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</si>
  <si>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</si>
  <si>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</si>
  <si>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</si>
  <si>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</si>
  <si>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</si>
  <si>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</si>
  <si>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</si>
  <si>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</si>
  <si>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</si>
  <si>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</si>
  <si>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</si>
  <si>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</si>
  <si>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</si>
  <si>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</si>
  <si>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</si>
  <si>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</si>
  <si>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</si>
  <si>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</si>
  <si>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</si>
  <si>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</si>
  <si>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</si>
  <si>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</si>
  <si>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</si>
  <si>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</si>
  <si>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</si>
  <si>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</si>
  <si>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</si>
  <si>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</si>
  <si>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</si>
  <si>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</si>
  <si>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</si>
  <si>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</si>
  <si>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</si>
  <si>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</si>
  <si>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</si>
  <si>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</si>
  <si>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</si>
  <si>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</si>
  <si>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</si>
  <si>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</si>
  <si>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</si>
  <si>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</si>
  <si>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</si>
  <si>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</si>
  <si>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</si>
  <si>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</si>
  <si>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</si>
  <si>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</si>
  <si>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</si>
  <si>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</si>
  <si>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</si>
  <si>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</si>
  <si>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</si>
  <si>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</si>
  <si>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</si>
  <si>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</si>
  <si>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</si>
  <si>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</si>
  <si>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</si>
  <si>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</si>
  <si>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</si>
  <si>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</si>
  <si>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</si>
  <si>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</si>
  <si>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</si>
  <si>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</si>
  <si>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</si>
  <si>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</si>
  <si>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</si>
  <si>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</si>
  <si>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</si>
  <si>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</si>
  <si>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</si>
  <si>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</si>
  <si>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</si>
  <si>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</si>
  <si>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</si>
  <si>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</si>
  <si>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</si>
  <si>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</si>
  <si>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</si>
  <si>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</si>
  <si>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</si>
  <si>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</si>
  <si>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</si>
  <si>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</si>
  <si>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</si>
  <si>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</si>
  <si>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</si>
  <si>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</si>
  <si>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</si>
  <si>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</si>
  <si>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</si>
  <si>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</si>
  <si>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</si>
  <si>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</si>
  <si>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</si>
  <si>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</si>
  <si>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</si>
  <si>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</si>
  <si>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</si>
  <si>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</si>
  <si>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</si>
  <si>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</si>
  <si>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</si>
  <si>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</si>
  <si>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</si>
  <si>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</si>
  <si>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</si>
  <si>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</si>
  <si>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</si>
  <si>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</si>
  <si>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</si>
  <si>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</si>
  <si>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</si>
  <si>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</si>
  <si>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</si>
  <si>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</si>
  <si>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</si>
  <si>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</si>
  <si>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</si>
  <si>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</si>
  <si>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</si>
  <si>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</si>
  <si>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</si>
  <si>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</si>
  <si>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</si>
  <si>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</si>
  <si>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</si>
  <si>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</si>
  <si>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</si>
  <si>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</si>
  <si>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</si>
  <si>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</si>
  <si>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</si>
  <si>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</si>
  <si>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</si>
  <si>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</si>
  <si>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</si>
  <si>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</si>
  <si>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</si>
  <si>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</si>
  <si>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</si>
  <si>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</si>
  <si>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</si>
  <si>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</si>
  <si>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</si>
  <si>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</si>
  <si>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</si>
  <si>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</si>
  <si>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</si>
  <si>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</si>
  <si>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</si>
  <si>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</si>
  <si>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</si>
  <si>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</si>
  <si>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</si>
  <si>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</si>
  <si>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</si>
  <si>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</si>
  <si>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</si>
  <si>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</si>
  <si>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</si>
  <si>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</si>
  <si>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</si>
  <si>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</si>
  <si>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</si>
  <si>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</si>
  <si>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</si>
  <si>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</si>
  <si>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</si>
  <si>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</si>
  <si>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</si>
  <si>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</si>
  <si>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</si>
  <si>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</si>
  <si>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</si>
  <si>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</si>
  <si>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</si>
  <si>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</si>
  <si>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</si>
  <si>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</si>
  <si>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</si>
  <si>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</si>
  <si>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</si>
  <si>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</si>
  <si>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</si>
  <si>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</si>
  <si>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</si>
  <si>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</si>
  <si>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</si>
  <si>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</si>
  <si>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</si>
  <si>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</si>
  <si>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</si>
  <si>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</si>
  <si>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</si>
  <si>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</si>
  <si>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</si>
  <si>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</si>
  <si>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</si>
  <si>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</si>
  <si>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</si>
  <si>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</si>
  <si>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</si>
  <si>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</si>
  <si>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</si>
  <si>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</si>
  <si>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</si>
  <si>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</si>
  <si>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</si>
  <si>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</si>
  <si>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</si>
  <si>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</si>
  <si>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</si>
  <si>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</si>
  <si>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</si>
  <si>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</si>
  <si>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</si>
  <si>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</si>
  <si>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</si>
  <si>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</si>
  <si>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</si>
  <si>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</si>
  <si>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</si>
  <si>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</si>
  <si>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</si>
  <si>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</si>
  <si>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</si>
  <si>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</si>
  <si>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</si>
  <si>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</si>
  <si>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</si>
  <si>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</si>
  <si>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</si>
  <si>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</si>
  <si>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</si>
  <si>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</si>
  <si>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</si>
  <si>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</si>
  <si>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</si>
  <si>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</si>
  <si>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</si>
  <si>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</si>
  <si>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</si>
  <si>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</si>
  <si>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</si>
  <si>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</si>
  <si>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</si>
  <si>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</si>
  <si>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</si>
  <si>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</si>
  <si>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</si>
  <si>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</si>
  <si>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</si>
  <si>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</si>
  <si>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</si>
  <si>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</si>
  <si>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</si>
  <si>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</si>
  <si>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</si>
  <si>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</si>
  <si>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</si>
  <si>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</si>
  <si>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</si>
  <si>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</si>
  <si>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</si>
  <si>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</si>
  <si>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</si>
  <si>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</si>
  <si>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</si>
  <si>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</si>
  <si>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</si>
  <si>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</si>
  <si>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</si>
  <si>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</si>
  <si>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</si>
  <si>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</si>
  <si>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</si>
  <si>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</si>
  <si>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</si>
  <si>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</si>
  <si>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</si>
  <si>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</si>
  <si>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</si>
  <si>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</si>
  <si>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</si>
  <si>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</si>
  <si>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</si>
  <si>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</si>
  <si>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</si>
  <si>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</si>
  <si>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</si>
  <si>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</si>
  <si>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</si>
  <si>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</si>
  <si>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</si>
  <si>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</si>
  <si>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</si>
  <si>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</si>
  <si>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</si>
  <si>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</si>
  <si>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</si>
  <si>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</si>
  <si>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</si>
  <si>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</si>
  <si>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</si>
  <si>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</si>
  <si>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</si>
  <si>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</si>
  <si>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</si>
  <si>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</si>
  <si>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</si>
  <si>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</si>
  <si>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</si>
  <si>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</si>
  <si>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</si>
  <si>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</si>
  <si>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</si>
  <si>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</si>
  <si>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</si>
  <si>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</si>
  <si>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</si>
  <si>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</si>
  <si>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</si>
  <si>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</si>
  <si>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</si>
  <si>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</si>
  <si>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</si>
  <si>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</si>
  <si>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</si>
  <si>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</si>
  <si>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</si>
  <si>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</si>
  <si>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</si>
  <si>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</si>
  <si>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</si>
  <si>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</si>
  <si>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</si>
  <si>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</si>
  <si>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</si>
  <si>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</si>
  <si>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</si>
  <si>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</si>
  <si>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</si>
  <si>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</si>
  <si>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</si>
  <si>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</si>
  <si>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</si>
  <si>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</si>
  <si>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</si>
  <si>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</si>
  <si>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</si>
  <si>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</si>
  <si>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</si>
  <si>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</si>
  <si>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</si>
  <si>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</si>
  <si>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</si>
  <si>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</si>
  <si>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</si>
  <si>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</si>
  <si>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</si>
  <si>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</si>
  <si>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</si>
  <si>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</si>
  <si>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</si>
  <si>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</si>
  <si>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</si>
  <si>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</si>
  <si>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</si>
  <si>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</si>
  <si>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</si>
  <si>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</si>
  <si>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</si>
  <si>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</si>
  <si>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</si>
  <si>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</si>
  <si>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</si>
  <si>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</si>
  <si>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</si>
  <si>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</si>
  <si>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</si>
  <si>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</si>
  <si>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</si>
  <si>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</si>
  <si>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</si>
  <si>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</si>
  <si>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</si>
  <si>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</si>
  <si>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</si>
  <si>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</si>
  <si>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</si>
  <si>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</si>
  <si>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</si>
  <si>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</si>
  <si>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</si>
  <si>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</si>
  <si>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</si>
  <si>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</si>
  <si>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</si>
  <si>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</si>
  <si>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</si>
  <si>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</si>
  <si>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</si>
  <si>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</si>
  <si>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</si>
  <si>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</si>
  <si>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</si>
  <si>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</si>
  <si>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</si>
  <si>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</si>
  <si>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</si>
  <si>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</si>
  <si>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</si>
  <si>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</si>
  <si>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</si>
  <si>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</si>
  <si>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</si>
  <si>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</si>
  <si>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</si>
  <si>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</si>
  <si>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</si>
  <si>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</si>
  <si>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</si>
  <si>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</si>
  <si>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</si>
  <si>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</si>
  <si>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</si>
  <si>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</si>
  <si>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</si>
  <si>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</si>
  <si>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</si>
  <si>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</si>
  <si>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</si>
  <si>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</si>
  <si>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</si>
  <si>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</si>
  <si>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</si>
  <si>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</si>
  <si>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</si>
  <si>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</si>
  <si>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</si>
  <si>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</si>
  <si>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</si>
  <si>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</si>
  <si>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</si>
  <si>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</si>
  <si>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</si>
  <si>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</si>
  <si>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</si>
  <si>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</si>
  <si>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</si>
  <si>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</si>
  <si>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</si>
  <si>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</si>
  <si>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</si>
  <si>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</si>
  <si>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</si>
  <si>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</si>
  <si>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</si>
  <si>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</si>
  <si>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</si>
  <si>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</si>
  <si>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</si>
  <si>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</si>
  <si>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</si>
  <si>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</si>
  <si>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</si>
  <si>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</si>
  <si>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</si>
  <si>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</si>
  <si>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</si>
  <si>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</si>
  <si>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</si>
  <si>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</si>
  <si>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</si>
  <si>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</si>
  <si>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</si>
  <si>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</si>
  <si>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</si>
  <si>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</si>
  <si>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</si>
  <si>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</si>
  <si>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</si>
  <si>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</si>
  <si>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</si>
  <si>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</si>
  <si>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</si>
  <si>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</si>
  <si>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</si>
  <si>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</si>
  <si>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</si>
  <si>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</si>
  <si>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</si>
  <si>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</si>
  <si>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</si>
  <si>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</si>
  <si>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</si>
  <si>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</si>
  <si>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</si>
  <si>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</si>
  <si>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</si>
  <si>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</si>
  <si>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</si>
  <si>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</si>
  <si>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</si>
  <si>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</si>
  <si>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</si>
  <si>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</si>
  <si>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</si>
  <si>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</si>
  <si>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</si>
  <si>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</si>
  <si>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</si>
  <si>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</si>
  <si>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</si>
  <si>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</si>
  <si>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</si>
  <si>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</si>
  <si>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</si>
  <si>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</si>
  <si>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</si>
  <si>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</si>
  <si>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</si>
  <si>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</si>
  <si>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</si>
  <si>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</si>
  <si>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</si>
  <si>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</si>
  <si>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</si>
  <si>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</si>
  <si>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</si>
  <si>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</si>
  <si>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</si>
  <si>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</si>
  <si>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</si>
  <si>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</si>
  <si>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</si>
  <si>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</si>
  <si>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</si>
  <si>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</si>
  <si>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</si>
  <si>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</si>
  <si>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</si>
  <si>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</si>
  <si>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</si>
  <si>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</si>
  <si>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</si>
  <si>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</si>
  <si>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</si>
  <si>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</si>
  <si>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</si>
  <si>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</si>
  <si>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</si>
  <si>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</si>
  <si>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</si>
  <si>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</si>
  <si>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</si>
  <si>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</si>
  <si>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</si>
  <si>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</si>
  <si>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</si>
  <si>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</si>
  <si>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</si>
  <si>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</si>
  <si>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</si>
  <si>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</si>
  <si>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</si>
  <si>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</si>
  <si>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</si>
  <si>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</si>
  <si>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</si>
  <si>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</si>
  <si>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</si>
  <si>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</si>
  <si>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</si>
  <si>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</si>
  <si>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</si>
  <si>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</si>
  <si>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</si>
  <si>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</si>
  <si>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</si>
  <si>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</si>
  <si>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</si>
  <si>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</si>
  <si>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</si>
  <si>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</si>
  <si>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</si>
  <si>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</si>
  <si>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</si>
  <si>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</si>
  <si>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</si>
  <si>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</si>
  <si>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</si>
  <si>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</si>
  <si>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</si>
  <si>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</si>
  <si>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</si>
  <si>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</si>
  <si>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</si>
  <si>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</si>
  <si>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</si>
  <si>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</si>
  <si>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</si>
  <si>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</si>
  <si>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</si>
  <si>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</si>
  <si>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</si>
  <si>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</si>
  <si>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</si>
  <si>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</si>
  <si>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</si>
  <si>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</si>
  <si>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</si>
  <si>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</si>
  <si>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</si>
  <si>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</si>
  <si>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</si>
  <si>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</si>
  <si>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</si>
  <si>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</si>
  <si>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</si>
  <si>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</si>
  <si>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</si>
  <si>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</si>
  <si>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</si>
  <si>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</si>
  <si>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</si>
  <si>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</si>
  <si>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</si>
  <si>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</si>
  <si>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</si>
  <si>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</si>
  <si>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</si>
  <si>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</si>
  <si>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</si>
  <si>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</si>
  <si>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</si>
  <si>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</si>
  <si>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</si>
  <si>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</si>
  <si>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</si>
  <si>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</si>
  <si>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</si>
  <si>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</si>
  <si>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</si>
  <si>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</si>
  <si>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</si>
  <si>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</si>
  <si>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</si>
  <si>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</si>
  <si>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</si>
  <si>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</si>
  <si>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</si>
  <si>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</si>
  <si>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</si>
  <si>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</si>
  <si>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</si>
  <si>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</si>
  <si>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</si>
  <si>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</si>
  <si>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</si>
  <si>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</si>
  <si>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</si>
  <si>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</si>
  <si>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</si>
  <si>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</si>
  <si>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</si>
  <si>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</si>
  <si>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</si>
  <si>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</si>
  <si>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</si>
  <si>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</si>
  <si>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</si>
  <si>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</si>
  <si>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</si>
  <si>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</si>
  <si>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</si>
  <si>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</si>
  <si>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</si>
  <si>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</si>
  <si>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</si>
  <si>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</si>
  <si>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</si>
  <si>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</si>
  <si>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</si>
  <si>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</si>
  <si>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</si>
  <si>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</si>
  <si>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</si>
  <si>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</si>
  <si>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</si>
  <si>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</si>
  <si>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</si>
  <si>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</si>
  <si>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</si>
  <si>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</si>
  <si>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</si>
  <si>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</si>
  <si>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</si>
  <si>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</si>
  <si>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</si>
  <si>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</si>
  <si>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</si>
  <si>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</si>
  <si>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</si>
  <si>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</si>
  <si>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</si>
  <si>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</si>
  <si>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</si>
  <si>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</si>
  <si>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</si>
  <si>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</si>
  <si>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</si>
  <si>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</si>
  <si>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</si>
  <si>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</si>
  <si>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</si>
  <si>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</si>
  <si>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</si>
  <si>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</si>
  <si>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</si>
  <si>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</si>
  <si>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</si>
  <si>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</si>
  <si>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</si>
  <si>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</si>
  <si>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</si>
  <si>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</si>
  <si>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</si>
  <si>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</si>
  <si>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</si>
  <si>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</si>
  <si>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</si>
  <si>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</si>
  <si>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</si>
  <si>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</si>
  <si>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</si>
  <si>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</si>
  <si>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</si>
  <si>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</si>
  <si>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</si>
  <si>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</si>
  <si>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</si>
  <si>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</si>
  <si>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</si>
  <si>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</si>
  <si>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</si>
  <si>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</si>
  <si>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</si>
  <si>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</si>
  <si>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</si>
  <si>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</si>
  <si>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</si>
  <si>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</si>
  <si>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</si>
  <si>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</si>
  <si>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</si>
  <si>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</si>
  <si>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</si>
  <si>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</si>
  <si>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</si>
  <si>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</si>
  <si>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</si>
  <si>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</si>
  <si>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</si>
  <si>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</si>
  <si>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</si>
  <si>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</si>
  <si>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</si>
  <si>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</si>
  <si>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</si>
  <si>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</si>
  <si>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</si>
  <si>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</si>
  <si>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</si>
  <si>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</si>
  <si>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</si>
  <si>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</si>
  <si>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</si>
  <si>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</si>
  <si>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</si>
  <si>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</si>
  <si>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</si>
  <si>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</si>
  <si>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</si>
  <si>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</si>
  <si>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</si>
  <si>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</si>
  <si>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</si>
  <si>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</si>
  <si>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</si>
  <si>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</si>
  <si>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</si>
  <si>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</si>
  <si>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</si>
  <si>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</si>
  <si>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</si>
  <si>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</si>
  <si>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</si>
  <si>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</si>
  <si>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</si>
  <si>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</si>
  <si>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</si>
  <si>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</si>
  <si>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</si>
  <si>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</si>
  <si>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</si>
  <si>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</si>
  <si>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</si>
  <si>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</si>
  <si>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</si>
  <si>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</si>
  <si>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</si>
  <si>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</si>
  <si>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</si>
  <si>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</si>
  <si>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</si>
  <si>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</si>
  <si>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</si>
  <si>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</si>
  <si>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</si>
  <si>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</si>
  <si>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</si>
  <si>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</si>
  <si>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</si>
  <si>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</si>
  <si>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</si>
  <si>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</si>
  <si>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</si>
  <si>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</si>
  <si>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</si>
  <si>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</si>
  <si>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</si>
  <si>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</si>
  <si>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</si>
  <si>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</si>
  <si>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</si>
  <si>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</si>
  <si>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</si>
  <si>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</si>
  <si>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</si>
  <si>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</si>
  <si>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</si>
  <si>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</si>
  <si>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</si>
  <si>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</si>
  <si>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</si>
  <si>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</si>
  <si>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</si>
  <si>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</si>
  <si>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</si>
  <si>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</si>
  <si>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</si>
  <si>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</si>
  <si>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</si>
  <si>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</si>
  <si>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</si>
  <si>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</si>
  <si>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</si>
  <si>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</si>
  <si>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</si>
  <si>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</si>
  <si>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</si>
  <si>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</si>
  <si>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</si>
  <si>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</si>
  <si>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</si>
  <si>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</si>
  <si>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</si>
  <si>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</si>
  <si>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</si>
  <si>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</si>
  <si>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</si>
  <si>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</si>
  <si>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</si>
  <si>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</si>
  <si>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</si>
  <si>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</si>
  <si>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</si>
  <si>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</si>
  <si>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</si>
  <si>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</si>
  <si>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</si>
  <si>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</si>
  <si>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</si>
  <si>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</si>
  <si>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</si>
  <si>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</si>
  <si>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</si>
  <si>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</si>
  <si>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</si>
  <si>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</si>
  <si>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</si>
  <si>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</si>
  <si>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</si>
  <si>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</si>
  <si>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</si>
  <si>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</si>
  <si>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</si>
  <si>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</si>
  <si>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</si>
  <si>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</si>
  <si>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</si>
  <si>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</si>
  <si>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</si>
  <si>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</si>
  <si>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</si>
  <si>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</si>
  <si>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</si>
  <si>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</si>
  <si>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</si>
  <si>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</si>
  <si>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</si>
  <si>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</si>
  <si>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</si>
  <si>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</si>
  <si>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</si>
  <si>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</si>
  <si>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</si>
  <si>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</si>
  <si>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</si>
  <si>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</si>
  <si>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</si>
  <si>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</si>
  <si>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</si>
  <si>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</si>
  <si>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</si>
  <si>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</si>
  <si>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</si>
  <si>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</si>
  <si>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</si>
  <si>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</si>
  <si>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</si>
  <si>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</si>
  <si>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</si>
  <si>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</si>
  <si>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</si>
  <si>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</si>
  <si>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</si>
  <si>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</si>
  <si>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</si>
  <si>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</si>
  <si>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</si>
  <si>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</si>
  <si>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</si>
  <si>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</si>
  <si>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</si>
  <si>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</si>
  <si>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</si>
  <si>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</si>
  <si>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</si>
  <si>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</si>
  <si>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</si>
  <si>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</si>
  <si>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</si>
  <si>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</si>
  <si>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</si>
  <si>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</si>
  <si>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</si>
  <si>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</si>
  <si>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</si>
  <si>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</si>
  <si>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</si>
  <si>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</si>
  <si>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</si>
  <si>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</si>
  <si>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</si>
  <si>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</si>
  <si>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</si>
  <si>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</si>
  <si>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</si>
  <si>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</si>
  <si>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</si>
  <si>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</si>
  <si>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</si>
  <si>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</si>
  <si>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</si>
  <si>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</si>
  <si>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</si>
  <si>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</si>
  <si>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</si>
  <si>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</si>
  <si>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</si>
  <si>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</si>
  <si>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</si>
  <si>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</si>
  <si>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</si>
  <si>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</si>
  <si>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</si>
  <si>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</si>
  <si>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</si>
  <si>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</si>
  <si>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</si>
  <si>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</si>
  <si>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</si>
  <si>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</si>
  <si>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</si>
  <si>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</si>
  <si>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</si>
  <si>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</si>
  <si>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</si>
  <si>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</si>
  <si>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</si>
  <si>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</si>
  <si>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</si>
  <si>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</si>
  <si>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</si>
  <si>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</si>
  <si>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</si>
  <si>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</si>
  <si>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</si>
  <si>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</si>
  <si>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</si>
  <si>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</si>
  <si>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</si>
  <si>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</si>
  <si>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</si>
  <si>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</si>
  <si>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</si>
  <si>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</si>
  <si>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</si>
  <si>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</si>
  <si>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</si>
  <si>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</si>
  <si>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</si>
  <si>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</si>
  <si>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</si>
  <si>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</si>
  <si>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</si>
  <si>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</si>
  <si>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</si>
  <si>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</si>
  <si>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</si>
  <si>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</si>
  <si>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</si>
  <si>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</si>
  <si>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</si>
  <si>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</si>
  <si>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</si>
  <si>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</si>
  <si>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</si>
  <si>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</si>
  <si>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</si>
  <si>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</si>
  <si>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</si>
  <si>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</si>
  <si>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</si>
  <si>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</si>
  <si>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</si>
  <si>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</si>
  <si>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</si>
  <si>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</si>
  <si>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</si>
  <si>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</si>
  <si>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</si>
  <si>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</si>
  <si>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</si>
  <si>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</si>
  <si>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</si>
  <si>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</si>
  <si>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</si>
  <si>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</si>
  <si>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</si>
  <si>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</si>
  <si>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</si>
  <si>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</si>
  <si>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</si>
  <si>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</si>
  <si>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</si>
  <si>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</si>
  <si>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</si>
  <si>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</si>
  <si>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</si>
  <si>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</si>
  <si>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</si>
  <si>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</si>
  <si>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</si>
  <si>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</si>
  <si>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</si>
  <si>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</si>
  <si>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</si>
  <si>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</si>
  <si>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</si>
  <si>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</si>
  <si>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</si>
  <si>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</si>
  <si>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</si>
  <si>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</si>
  <si>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</si>
  <si>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</si>
  <si>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</si>
  <si>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</si>
  <si>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</si>
  <si>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</si>
  <si>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</si>
  <si>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</si>
  <si>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</si>
  <si>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</si>
  <si>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</si>
  <si>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</si>
  <si>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</si>
  <si>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</si>
  <si>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</si>
  <si>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</si>
  <si>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</si>
  <si>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</si>
  <si>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</si>
  <si>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</si>
  <si>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</si>
  <si>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</si>
  <si>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</si>
  <si>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</si>
  <si>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</si>
  <si>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</si>
  <si>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</si>
  <si>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</si>
  <si>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</si>
  <si>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</si>
  <si>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</si>
  <si>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</si>
  <si>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</si>
  <si>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</si>
  <si>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</si>
  <si>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</si>
  <si>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</si>
  <si>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</si>
  <si>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</si>
  <si>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</si>
  <si>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</si>
  <si>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</si>
  <si>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</si>
  <si>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</si>
  <si>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</si>
  <si>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</si>
  <si>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</si>
  <si>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</si>
  <si>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</si>
  <si>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</si>
  <si>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</si>
  <si>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</si>
  <si>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</si>
  <si>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</si>
  <si>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</si>
  <si>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</si>
  <si>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</si>
  <si>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</si>
  <si>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</si>
  <si>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</si>
  <si>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</si>
  <si>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</si>
  <si>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</si>
  <si>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</si>
  <si>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</si>
  <si>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</si>
  <si>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</si>
  <si>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</si>
  <si>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</si>
  <si>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</si>
  <si>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</si>
  <si>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</si>
  <si>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</si>
  <si>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</si>
  <si>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</si>
  <si>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</si>
  <si>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</si>
  <si>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</si>
  <si>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</si>
  <si>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</si>
  <si>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</si>
  <si>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</si>
  <si>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</si>
  <si>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</si>
  <si>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</si>
  <si>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</si>
  <si>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</si>
  <si>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</si>
  <si>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</si>
  <si>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</si>
  <si>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</si>
  <si>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</si>
  <si>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</si>
  <si>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</si>
  <si>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</si>
  <si>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</si>
  <si>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</si>
  <si>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</si>
  <si>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</si>
  <si>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</si>
  <si>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</si>
  <si>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</si>
  <si>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</si>
  <si>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</si>
  <si>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</si>
  <si>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</si>
  <si>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</si>
  <si>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</si>
  <si>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</si>
  <si>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</si>
  <si>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</si>
  <si>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</si>
  <si>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</si>
  <si>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</si>
  <si>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</si>
  <si>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</si>
  <si>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</si>
  <si>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</si>
  <si>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</si>
  <si>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</si>
  <si>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</si>
  <si>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</si>
  <si>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</si>
  <si>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</si>
  <si>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</si>
  <si>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</si>
  <si>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</si>
  <si>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</si>
  <si>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</si>
  <si>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</si>
  <si>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</si>
  <si>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</si>
  <si>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</si>
  <si>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</si>
  <si>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</si>
  <si>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</si>
  <si>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</si>
  <si>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</si>
  <si>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</si>
  <si>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</si>
  <si>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</si>
  <si>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</si>
  <si>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</si>
  <si>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</si>
  <si>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</si>
  <si>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</si>
  <si>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</si>
  <si>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</si>
  <si>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</si>
  <si>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</si>
  <si>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</si>
  <si>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</si>
  <si>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</si>
  <si>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</si>
  <si>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</si>
  <si>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</si>
  <si>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</si>
  <si>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</si>
  <si>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</si>
  <si>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</si>
  <si>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</si>
  <si>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</si>
  <si>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</si>
  <si>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</si>
  <si>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</si>
  <si>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</si>
  <si>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</si>
  <si>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</si>
  <si>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</si>
  <si>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</si>
  <si>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</si>
  <si>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</si>
  <si>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</si>
  <si>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</si>
  <si>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</si>
  <si>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</si>
  <si>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</si>
  <si>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</si>
  <si>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</si>
  <si>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</si>
  <si>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</si>
  <si>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</si>
  <si>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</si>
  <si>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</si>
  <si>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</si>
  <si>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</si>
  <si>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</si>
  <si>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</si>
  <si>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</si>
  <si>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</si>
  <si>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</si>
  <si>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</si>
  <si>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</si>
  <si>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</si>
  <si>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</si>
  <si>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</si>
  <si>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</si>
  <si>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</si>
  <si>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</si>
  <si>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</si>
  <si>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</si>
  <si>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</si>
  <si>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</si>
  <si>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</si>
  <si>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</si>
  <si>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</si>
  <si>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</si>
  <si>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</si>
  <si>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</si>
  <si>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</si>
  <si>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</si>
  <si>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</si>
  <si>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</si>
  <si>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</si>
  <si>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</si>
  <si>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</si>
  <si>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</si>
  <si>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</si>
  <si>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</si>
  <si>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</si>
  <si>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</si>
  <si>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</si>
  <si>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</si>
  <si>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</si>
  <si>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</si>
  <si>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</si>
  <si>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</si>
  <si>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</si>
  <si>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</si>
  <si>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</si>
  <si>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</si>
  <si>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</si>
  <si>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</si>
  <si>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</si>
  <si>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</si>
  <si>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</si>
  <si>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</si>
  <si>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</si>
  <si>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</si>
  <si>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</si>
  <si>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</si>
  <si>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</si>
  <si>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</si>
  <si>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</si>
  <si>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</si>
  <si>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</si>
  <si>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</si>
  <si>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</si>
  <si>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</si>
  <si>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</si>
  <si>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</si>
  <si>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</si>
  <si>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</si>
  <si>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</si>
  <si>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</si>
  <si>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</si>
  <si>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</si>
  <si>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</si>
  <si>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</si>
  <si>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</si>
  <si>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</si>
  <si>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</si>
  <si>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</si>
  <si>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</si>
  <si>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</si>
  <si>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</si>
  <si>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</si>
  <si>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</si>
  <si>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</si>
  <si>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</si>
  <si>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</si>
  <si>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</si>
  <si>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</si>
  <si>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</si>
  <si>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</si>
  <si>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</si>
  <si>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</si>
  <si>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</si>
  <si>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</si>
  <si>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</si>
  <si>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</si>
  <si>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</si>
  <si>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</si>
  <si>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</si>
  <si>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</si>
  <si>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</si>
  <si>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</si>
  <si>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</si>
  <si>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</si>
  <si>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</si>
  <si>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</si>
  <si>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</si>
  <si>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</si>
  <si>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</si>
  <si>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</si>
  <si>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</si>
  <si>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</si>
  <si>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</si>
  <si>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</si>
  <si>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</si>
  <si>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</si>
  <si>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</si>
  <si>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</si>
  <si>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</si>
  <si>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</si>
  <si>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</si>
  <si>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</si>
  <si>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</si>
  <si>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</si>
  <si>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</si>
  <si>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</si>
  <si>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</si>
  <si>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</si>
  <si>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</si>
  <si>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</si>
  <si>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</si>
  <si>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</si>
  <si>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</si>
  <si>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</si>
  <si>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</si>
  <si>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</si>
  <si>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</si>
  <si>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</si>
  <si>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</si>
  <si>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</si>
  <si>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</si>
  <si>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</si>
  <si>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</si>
  <si>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</si>
  <si>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</si>
  <si>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</si>
  <si>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</si>
  <si>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</si>
  <si>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</si>
  <si>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</si>
  <si>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</si>
  <si>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</si>
  <si>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</si>
  <si>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</si>
  <si>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</si>
  <si>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</si>
  <si>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</si>
  <si>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</si>
  <si>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</si>
  <si>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</si>
  <si>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</si>
  <si>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</si>
  <si>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</si>
  <si>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</si>
  <si>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</si>
  <si>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</si>
  <si>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</si>
  <si>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</si>
  <si>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</si>
  <si>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</si>
  <si>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</si>
  <si>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</si>
  <si>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</si>
  <si>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</si>
  <si>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</si>
  <si>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</si>
  <si>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</si>
  <si>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</si>
  <si>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</si>
  <si>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</si>
  <si>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</si>
  <si>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</si>
  <si>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</si>
  <si>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</si>
  <si>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</si>
  <si>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</si>
  <si>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</si>
  <si>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</si>
  <si>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</si>
  <si>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</si>
  <si>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</si>
  <si>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</si>
  <si>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</si>
  <si>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</si>
  <si>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</si>
  <si>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</si>
  <si>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</si>
  <si>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</si>
  <si>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</si>
  <si>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</si>
  <si>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</si>
  <si>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</si>
  <si>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</si>
  <si>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</si>
  <si>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</si>
  <si>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</si>
  <si>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</si>
  <si>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</si>
  <si>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</si>
  <si>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</si>
  <si>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</si>
  <si>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</si>
  <si>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</si>
  <si>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</si>
  <si>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</si>
  <si>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</si>
  <si>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</si>
  <si>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</si>
  <si>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</si>
  <si>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</si>
  <si>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</si>
  <si>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</si>
  <si>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</si>
  <si>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</si>
  <si>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</si>
  <si>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</si>
  <si>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</si>
  <si>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</si>
  <si>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</si>
  <si>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</si>
  <si>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</si>
  <si>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</si>
  <si>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</si>
  <si>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</si>
  <si>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</si>
  <si>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</si>
  <si>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</si>
  <si>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</si>
  <si>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</si>
  <si>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</si>
  <si>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</si>
  <si>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</si>
  <si>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</si>
  <si>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</si>
  <si>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</si>
  <si>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</si>
  <si>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</si>
  <si>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</si>
  <si>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</si>
  <si>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</si>
  <si>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</si>
  <si>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</si>
  <si>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</si>
  <si>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</si>
  <si>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</si>
  <si>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</si>
  <si>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</si>
  <si>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</si>
  <si>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</si>
  <si>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</si>
  <si>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</si>
  <si>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</si>
  <si>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</si>
  <si>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</si>
  <si>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</si>
  <si>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</si>
  <si>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</si>
  <si>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</si>
  <si>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</si>
  <si>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</si>
  <si>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</si>
  <si>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</si>
  <si>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</si>
  <si>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</si>
  <si>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</si>
  <si>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</si>
  <si>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</si>
  <si>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</si>
  <si>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</si>
  <si>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</si>
  <si>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</si>
  <si>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</si>
  <si>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</si>
  <si>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</si>
  <si>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</si>
  <si>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</si>
  <si>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</si>
  <si>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</si>
  <si>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</si>
  <si>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</si>
  <si>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</si>
  <si>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</si>
  <si>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</si>
  <si>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</si>
  <si>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</si>
  <si>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</si>
  <si>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</si>
  <si>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</si>
  <si>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</si>
  <si>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</si>
  <si>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</si>
  <si>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</si>
  <si>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</si>
  <si>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</si>
  <si>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</si>
  <si>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</si>
  <si>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</si>
  <si>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</si>
  <si>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</si>
  <si>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</si>
  <si>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</si>
  <si>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</si>
  <si>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</si>
  <si>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</si>
  <si>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</si>
  <si>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</si>
  <si>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</si>
  <si>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</si>
  <si>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</si>
  <si>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</si>
  <si>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</si>
  <si>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</si>
  <si>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</si>
  <si>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</si>
  <si>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</si>
  <si>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</si>
  <si>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</si>
  <si>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</si>
  <si>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</si>
  <si>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</si>
  <si>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</si>
  <si>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</si>
  <si>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</si>
  <si>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</si>
  <si>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</si>
  <si>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</si>
  <si>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</si>
  <si>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</si>
  <si>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</si>
  <si>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</si>
  <si>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</si>
  <si>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</si>
  <si>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</si>
  <si>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</si>
  <si>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</si>
  <si>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</si>
  <si>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</si>
  <si>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</si>
  <si>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</si>
  <si>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</si>
  <si>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</si>
  <si>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</si>
  <si>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</si>
  <si>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</si>
  <si>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</si>
  <si>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</si>
  <si>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</si>
  <si>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</si>
  <si>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</si>
  <si>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</si>
  <si>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</si>
  <si>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</si>
  <si>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</si>
  <si>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</si>
  <si>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</si>
  <si>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</si>
  <si>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</si>
  <si>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</si>
  <si>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</si>
  <si>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</si>
  <si>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</si>
  <si>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</si>
  <si>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</si>
  <si>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</si>
  <si>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</si>
  <si>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</si>
  <si>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</si>
  <si>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</si>
  <si>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</si>
  <si>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</si>
  <si>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</si>
  <si>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</si>
  <si>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</si>
  <si>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</si>
  <si>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</si>
  <si>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</si>
  <si>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</si>
  <si>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</si>
  <si>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</si>
  <si>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</si>
  <si>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</si>
  <si>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</si>
  <si>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</si>
  <si>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</si>
  <si>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</si>
  <si>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</si>
  <si>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</si>
  <si>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</si>
  <si>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</si>
  <si>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</si>
  <si>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</si>
  <si>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</si>
  <si>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</si>
  <si>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</si>
  <si>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</si>
  <si>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</si>
  <si>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</si>
  <si>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</si>
  <si>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</si>
  <si>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</si>
  <si>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</si>
  <si>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</si>
  <si>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</si>
  <si>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</si>
  <si>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</si>
  <si>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</si>
  <si>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</si>
  <si>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</si>
  <si>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</si>
  <si>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</si>
  <si>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</si>
  <si>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</si>
  <si>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</si>
  <si>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</si>
  <si>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</si>
  <si>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</si>
  <si>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</si>
  <si>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</si>
  <si>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</si>
  <si>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</si>
  <si>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</si>
  <si>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</si>
  <si>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</si>
  <si>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</si>
  <si>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</si>
  <si>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</si>
  <si>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</si>
  <si>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</si>
  <si>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</si>
  <si>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</si>
  <si>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</si>
  <si>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</si>
  <si>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</si>
  <si>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</si>
  <si>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</si>
  <si>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</si>
  <si>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</si>
  <si>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</si>
  <si>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</si>
  <si>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</si>
  <si>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</si>
  <si>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</si>
  <si>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</si>
  <si>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</si>
  <si>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</si>
  <si>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</si>
  <si>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</si>
  <si>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</si>
  <si>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</si>
  <si>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</si>
  <si>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</si>
  <si>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</si>
  <si>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</si>
  <si>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</si>
  <si>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</si>
  <si>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</si>
  <si>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</si>
  <si>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</si>
  <si>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</si>
  <si>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</si>
  <si>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</si>
  <si>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</si>
  <si>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</si>
  <si>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</si>
  <si>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</si>
  <si>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</si>
  <si>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</si>
  <si>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</si>
  <si>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</si>
  <si>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</si>
  <si>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</si>
  <si>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</si>
  <si>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</si>
  <si>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</si>
  <si>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</si>
  <si>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</si>
  <si>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</si>
  <si>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</si>
  <si>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</si>
  <si>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</si>
  <si>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</si>
  <si>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</si>
  <si>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</si>
  <si>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</si>
  <si>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</si>
  <si>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</si>
  <si>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</si>
  <si>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</si>
  <si>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</si>
  <si>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</si>
  <si>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</si>
  <si>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</si>
  <si>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</si>
  <si>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</si>
  <si>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</si>
  <si>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</si>
  <si>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</si>
  <si>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</si>
  <si>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</si>
  <si>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</si>
  <si>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</si>
  <si>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</si>
  <si>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</si>
  <si>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</si>
  <si>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</si>
  <si>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</si>
  <si>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</si>
  <si>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</si>
  <si>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</si>
  <si>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</si>
  <si>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</si>
  <si>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</si>
  <si>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</si>
  <si>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</si>
  <si>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</si>
  <si>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</si>
  <si>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</si>
  <si>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</si>
  <si>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</si>
  <si>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</si>
  <si>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</si>
  <si>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</si>
  <si>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</si>
  <si>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</si>
  <si>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</si>
  <si>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</si>
  <si>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</si>
  <si>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</si>
  <si>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</si>
  <si>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</si>
  <si>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</si>
  <si>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</si>
  <si>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</si>
  <si>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</si>
  <si>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</si>
  <si>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</si>
  <si>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</si>
  <si>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</si>
  <si>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</si>
  <si>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</si>
  <si>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</si>
  <si>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</si>
  <si>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</si>
  <si>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</si>
  <si>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</si>
  <si>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</si>
  <si>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</si>
  <si>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</si>
  <si>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</si>
  <si>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</si>
  <si>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</si>
  <si>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</si>
  <si>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</si>
  <si>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</si>
  <si>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</si>
  <si>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</si>
  <si>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</si>
  <si>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</si>
  <si>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</si>
  <si>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</si>
  <si>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</si>
  <si>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</si>
  <si>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</si>
  <si>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</si>
  <si>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</si>
  <si>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</si>
  <si>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</si>
  <si>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</si>
  <si>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</si>
  <si>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</si>
  <si>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</si>
  <si>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</si>
  <si>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</si>
  <si>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</si>
  <si>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</si>
  <si>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</si>
  <si>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</si>
  <si>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</si>
  <si>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</si>
  <si>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</si>
  <si>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</si>
  <si>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</si>
  <si>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</si>
  <si>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</si>
  <si>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</si>
  <si>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</si>
  <si>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</si>
  <si>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</si>
  <si>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</si>
  <si>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</si>
  <si>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</si>
  <si>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</si>
  <si>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</si>
  <si>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</si>
  <si>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</si>
  <si>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</si>
  <si>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</si>
  <si>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</si>
  <si>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</si>
  <si>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</si>
  <si>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</si>
  <si>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</si>
  <si>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</si>
  <si>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</si>
  <si>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</si>
  <si>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</si>
  <si>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</si>
  <si>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</si>
  <si>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</si>
  <si>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</si>
  <si>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</si>
  <si>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</si>
  <si>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</si>
  <si>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</si>
  <si>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</si>
  <si>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</si>
  <si>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</si>
  <si>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</si>
  <si>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</si>
  <si>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</si>
  <si>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</si>
  <si>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</si>
  <si>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</si>
  <si>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</si>
  <si>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</si>
  <si>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</si>
  <si>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</si>
  <si>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</si>
  <si>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</si>
  <si>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</si>
  <si>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</si>
  <si>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</si>
  <si>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</si>
  <si>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</si>
  <si>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</si>
  <si>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</si>
  <si>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</si>
  <si>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</si>
  <si>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</si>
  <si>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</si>
  <si>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</si>
  <si>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</si>
  <si>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</si>
  <si>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</si>
  <si>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</si>
  <si>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</si>
  <si>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</si>
  <si>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</si>
  <si>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</si>
  <si>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</si>
  <si>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</si>
  <si>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</si>
  <si>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</si>
  <si>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</si>
  <si>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</si>
  <si>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</si>
  <si>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</si>
  <si>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</si>
  <si>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</si>
  <si>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</si>
  <si>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</si>
  <si>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</si>
  <si>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</si>
  <si>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</si>
  <si>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</si>
  <si>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</si>
  <si>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</si>
  <si>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</si>
  <si>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</si>
  <si>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</si>
  <si>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</si>
  <si>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</si>
  <si>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</si>
  <si>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</si>
  <si>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</si>
  <si>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</si>
  <si>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</si>
  <si>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</si>
  <si>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</si>
  <si>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</si>
  <si>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</si>
  <si>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</si>
  <si>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</si>
  <si>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</si>
  <si>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</si>
  <si>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</si>
  <si>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</si>
  <si>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</si>
  <si>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</si>
  <si>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</si>
  <si>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</si>
  <si>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</si>
  <si>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</si>
  <si>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</si>
  <si>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</si>
  <si>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</si>
  <si>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</si>
  <si>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</si>
  <si>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</si>
  <si>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</si>
  <si>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</si>
  <si>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</si>
  <si>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</si>
  <si>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</si>
  <si>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</si>
  <si>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</si>
  <si>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</si>
  <si>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</si>
  <si>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</si>
  <si>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</si>
  <si>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</si>
  <si>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</si>
  <si>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</si>
  <si>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</si>
  <si>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</si>
  <si>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</si>
  <si>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</si>
  <si>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</si>
  <si>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</si>
  <si>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</si>
  <si>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</si>
  <si>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</si>
  <si>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</si>
  <si>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</si>
  <si>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</si>
  <si>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</si>
  <si>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</si>
  <si>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</si>
  <si>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</si>
  <si>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</si>
  <si>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</si>
  <si>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</si>
  <si>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</si>
  <si>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</si>
  <si>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</si>
  <si>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</si>
  <si>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</si>
  <si>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</si>
  <si>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</si>
  <si>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</si>
  <si>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</si>
  <si>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</si>
  <si>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</si>
  <si>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</si>
  <si>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</si>
  <si>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</si>
  <si>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</si>
  <si>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</si>
  <si>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</si>
  <si>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</si>
  <si>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</si>
  <si>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</si>
  <si>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</si>
  <si>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</si>
  <si>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</si>
  <si>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</si>
  <si>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</si>
  <si>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</si>
  <si>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</si>
  <si>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</si>
  <si>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</si>
  <si>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</si>
  <si>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</si>
  <si>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</si>
  <si>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</si>
  <si>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</si>
  <si>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</si>
  <si>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</si>
  <si>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</si>
  <si>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</si>
  <si>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</si>
  <si>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</si>
  <si>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</si>
  <si>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</si>
  <si>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</si>
  <si>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</si>
  <si>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</si>
  <si>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</si>
  <si>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</si>
  <si>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</si>
  <si>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</si>
  <si>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</si>
  <si>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</si>
  <si>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</si>
  <si>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</si>
  <si>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</si>
  <si>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</si>
  <si>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</si>
  <si>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</si>
  <si>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</si>
  <si>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</si>
  <si>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</si>
  <si>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</si>
  <si>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</si>
  <si>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</si>
  <si>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</si>
  <si>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</si>
  <si>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</si>
  <si>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</si>
  <si>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</si>
  <si>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</si>
  <si>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</si>
  <si>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</si>
  <si>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</si>
  <si>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</si>
  <si>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</si>
  <si>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</si>
  <si>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</si>
  <si>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</si>
  <si>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</si>
  <si>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</si>
  <si>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</si>
  <si>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</si>
  <si>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</si>
  <si>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</si>
  <si>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</si>
  <si>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</si>
  <si>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</si>
  <si>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</si>
  <si>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</si>
  <si>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</si>
  <si>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</si>
  <si>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</si>
  <si>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</si>
  <si>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</si>
  <si>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</si>
  <si>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</si>
  <si>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</si>
  <si>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</si>
  <si>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</si>
  <si>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</si>
  <si>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</si>
  <si>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</si>
  <si>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</si>
  <si>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</si>
  <si>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</si>
  <si>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</si>
  <si>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</si>
  <si>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</si>
  <si>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</si>
  <si>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</si>
  <si>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</si>
  <si>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</si>
  <si>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</si>
  <si>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</si>
  <si>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</si>
  <si>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</si>
  <si>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</si>
  <si>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</si>
  <si>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</si>
  <si>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</si>
  <si>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</si>
  <si>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</si>
  <si>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</si>
  <si>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</si>
  <si>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</si>
  <si>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</si>
  <si>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</si>
  <si>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</si>
  <si>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</si>
  <si>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</si>
  <si>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</si>
  <si>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</si>
  <si>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</si>
  <si>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</si>
  <si>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</si>
  <si>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</si>
  <si>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</si>
  <si>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</si>
  <si>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</si>
  <si>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</si>
  <si>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</si>
  <si>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</si>
  <si>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</si>
  <si>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</si>
  <si>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</si>
  <si>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</si>
  <si>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</si>
  <si>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</si>
  <si>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</si>
  <si>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</si>
  <si>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</si>
  <si>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</si>
  <si>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</si>
  <si>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</si>
  <si>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</si>
  <si>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</si>
  <si>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</si>
  <si>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</si>
  <si>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</si>
  <si>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</si>
  <si>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</si>
  <si>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</si>
  <si>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</si>
  <si>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</si>
  <si>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</si>
  <si>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</si>
  <si>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</si>
  <si>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</si>
  <si>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</si>
  <si>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</si>
  <si>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</si>
  <si>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</si>
  <si>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</si>
  <si>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</si>
  <si>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</si>
  <si>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</si>
  <si>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</si>
  <si>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</si>
  <si>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</si>
  <si>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</si>
  <si>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</si>
  <si>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</si>
  <si>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</si>
  <si>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</si>
  <si>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</si>
  <si>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</si>
  <si>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</si>
  <si>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</si>
  <si>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</si>
  <si>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</si>
  <si>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</si>
  <si>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</si>
  <si>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</si>
  <si>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</si>
  <si>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</si>
  <si>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</si>
  <si>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</si>
  <si>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</si>
  <si>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</si>
  <si>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</si>
  <si>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</si>
  <si>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</si>
  <si>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</si>
  <si>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</si>
  <si>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</si>
  <si>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</si>
  <si>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</si>
  <si>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</si>
  <si>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</si>
  <si>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</si>
  <si>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</si>
  <si>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</si>
  <si>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</si>
  <si>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</si>
  <si>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</si>
  <si>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</si>
  <si>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</si>
  <si>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</si>
  <si>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</si>
  <si>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</si>
  <si>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</si>
  <si>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</si>
  <si>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</si>
  <si>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</si>
  <si>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</si>
  <si>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</si>
  <si>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</si>
  <si>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</si>
  <si>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</si>
  <si>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</si>
  <si>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</si>
  <si>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</si>
  <si>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</si>
  <si>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</si>
  <si>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</si>
  <si>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</si>
  <si>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</si>
  <si>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</si>
  <si>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</si>
  <si>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</si>
  <si>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</si>
  <si>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</si>
  <si>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</si>
  <si>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</si>
  <si>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</si>
  <si>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</si>
  <si>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</si>
  <si>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</si>
  <si>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</si>
  <si>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</si>
  <si>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</si>
  <si>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</si>
  <si>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</si>
  <si>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</si>
  <si>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</si>
  <si>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</si>
  <si>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</si>
  <si>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</si>
  <si>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</si>
  <si>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</si>
  <si>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</si>
  <si>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</si>
  <si>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</si>
  <si>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</si>
  <si>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</si>
  <si>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</si>
  <si>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</si>
  <si>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</si>
  <si>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</si>
  <si>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</si>
  <si>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</si>
  <si>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</si>
  <si>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</si>
  <si>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</si>
  <si>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</si>
  <si>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</si>
  <si>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</si>
  <si>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</si>
  <si>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</si>
  <si>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</si>
  <si>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</si>
  <si>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</si>
  <si>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</si>
  <si>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</si>
  <si>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</si>
  <si>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</si>
  <si>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</si>
  <si>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</si>
  <si>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</si>
  <si>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</si>
  <si>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</si>
  <si>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</si>
  <si>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</si>
  <si>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</si>
  <si>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</si>
  <si>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</si>
  <si>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</si>
  <si>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</si>
  <si>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</si>
  <si>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</si>
  <si>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</si>
  <si>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</si>
  <si>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</si>
  <si>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</si>
  <si>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</si>
  <si>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</si>
  <si>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</si>
  <si>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</si>
  <si>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</si>
  <si>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</si>
  <si>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</si>
  <si>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</si>
  <si>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</si>
  <si>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</si>
  <si>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</si>
  <si>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</si>
  <si>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</si>
  <si>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</si>
  <si>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</si>
  <si>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</si>
  <si>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</si>
  <si>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</si>
  <si>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</si>
  <si>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</si>
  <si>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</si>
  <si>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</si>
  <si>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</si>
  <si>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</si>
  <si>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</si>
  <si>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</si>
  <si>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</si>
  <si>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</si>
  <si>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</si>
  <si>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</si>
  <si>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</si>
  <si>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</si>
  <si>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</si>
  <si>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</si>
  <si>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</si>
  <si>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</si>
  <si>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</si>
  <si>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</si>
  <si>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</si>
  <si>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</si>
  <si>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</si>
  <si>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</si>
  <si>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</si>
  <si>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</si>
  <si>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</si>
  <si>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</si>
  <si>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</si>
  <si>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</si>
  <si>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</si>
  <si>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</si>
  <si>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</si>
  <si>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</si>
  <si>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</si>
  <si>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</si>
  <si>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</si>
  <si>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</si>
  <si>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</si>
  <si>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</si>
  <si>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</si>
  <si>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</si>
  <si>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</si>
  <si>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</si>
  <si>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</si>
  <si>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</si>
  <si>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</si>
  <si>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</si>
  <si>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</si>
  <si>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</si>
  <si>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</si>
  <si>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</si>
  <si>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</si>
  <si>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</si>
  <si>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</si>
  <si>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</si>
  <si>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</si>
  <si>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</si>
  <si>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</si>
  <si>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</si>
  <si>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</si>
  <si>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</si>
  <si>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</si>
  <si>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</si>
  <si>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</si>
  <si>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</si>
  <si>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</si>
  <si>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</si>
  <si>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</si>
  <si>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</si>
  <si>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</si>
  <si>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</si>
  <si>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</si>
  <si>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</si>
  <si>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</si>
  <si>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</si>
  <si>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</si>
  <si>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</si>
  <si>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</si>
  <si>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</si>
  <si>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</si>
  <si>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</si>
  <si>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</si>
  <si>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</si>
  <si>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</si>
  <si>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</si>
  <si>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</si>
  <si>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</si>
  <si>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</si>
  <si>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</si>
  <si>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</si>
  <si>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</si>
  <si>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</si>
  <si>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</si>
  <si>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</si>
  <si>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</si>
  <si>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</si>
  <si>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</si>
  <si>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</si>
  <si>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</si>
  <si>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</si>
  <si>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</si>
  <si>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</si>
  <si>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</si>
  <si>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</si>
  <si>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</si>
  <si>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</si>
  <si>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</si>
  <si>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</si>
  <si>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</si>
  <si>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</si>
  <si>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</si>
  <si>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</si>
  <si>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</si>
  <si>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</si>
  <si>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</si>
  <si>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</si>
  <si>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</si>
  <si>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</si>
  <si>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</si>
  <si>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</si>
  <si>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</si>
  <si>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</si>
  <si>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</si>
  <si>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</si>
  <si>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</si>
  <si>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</si>
  <si>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</si>
  <si>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</si>
  <si>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</si>
  <si>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</si>
  <si>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</si>
  <si>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</si>
  <si>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</si>
  <si>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</si>
  <si>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</si>
  <si>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</si>
  <si>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</si>
  <si>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</si>
  <si>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</si>
  <si>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</si>
  <si>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</si>
  <si>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</si>
  <si>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</si>
  <si>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</si>
  <si>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</si>
  <si>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</si>
  <si>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</si>
  <si>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</si>
  <si>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</si>
  <si>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</si>
  <si>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</si>
  <si>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</si>
  <si>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</si>
  <si>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</si>
  <si>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</si>
  <si>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</si>
  <si>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</si>
  <si>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</si>
  <si>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</si>
  <si>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</si>
  <si>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</si>
  <si>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</si>
  <si>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</si>
  <si>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</si>
  <si>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</si>
  <si>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</si>
  <si>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</si>
  <si>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</si>
  <si>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</si>
  <si>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</si>
  <si>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</si>
  <si>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</si>
  <si>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</si>
  <si>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</si>
  <si>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</si>
  <si>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</si>
  <si>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</si>
  <si>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</si>
  <si>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</si>
  <si>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</si>
  <si>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</si>
  <si>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</si>
  <si>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</si>
  <si>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</si>
  <si>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</si>
  <si>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</si>
  <si>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</si>
  <si>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</si>
  <si>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</si>
  <si>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</si>
  <si>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</si>
  <si>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</si>
  <si>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</si>
  <si>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</si>
  <si>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</si>
  <si>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</si>
  <si>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</si>
  <si>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</si>
  <si>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</si>
  <si>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</si>
  <si>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</si>
  <si>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</si>
  <si>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</si>
  <si>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</si>
  <si>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</si>
  <si>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</si>
  <si>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</si>
  <si>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</si>
  <si>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</si>
  <si>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</si>
  <si>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</si>
  <si>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</si>
  <si>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</si>
  <si>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</si>
  <si>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</si>
  <si>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</si>
  <si>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</si>
  <si>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</si>
  <si>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</si>
  <si>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</si>
  <si>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</si>
  <si>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</si>
  <si>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</si>
  <si>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</si>
  <si>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</si>
  <si>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</si>
  <si>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</si>
  <si>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</si>
  <si>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</si>
  <si>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</si>
  <si>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</si>
  <si>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</si>
  <si>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</si>
  <si>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</si>
  <si>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</si>
  <si>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</si>
  <si>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</si>
  <si>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</si>
  <si>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</si>
  <si>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</si>
  <si>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</si>
  <si>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</si>
  <si>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</si>
  <si>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</si>
  <si>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</si>
  <si>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</si>
  <si>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</si>
  <si>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</si>
  <si>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</si>
  <si>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</si>
  <si>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</si>
  <si>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</si>
  <si>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</si>
  <si>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</si>
  <si>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</si>
  <si>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</si>
  <si>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</si>
  <si>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</si>
  <si>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</si>
  <si>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</si>
  <si>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</si>
  <si>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</si>
  <si>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</si>
  <si>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</si>
  <si>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</si>
  <si>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</si>
  <si>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</si>
  <si>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</si>
  <si>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</si>
  <si>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</si>
  <si>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</si>
  <si>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</si>
  <si>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</si>
  <si>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</si>
  <si>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</si>
  <si>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</si>
  <si>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</si>
  <si>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</si>
  <si>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</si>
  <si>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</si>
  <si>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</si>
  <si>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</si>
  <si>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</si>
  <si>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</si>
  <si>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</si>
  <si>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</si>
  <si>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</si>
  <si>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</si>
  <si>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</si>
  <si>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</si>
  <si>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</si>
  <si>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</si>
  <si>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</si>
  <si>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</si>
  <si>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</si>
  <si>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</si>
  <si>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</si>
  <si>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</si>
  <si>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</si>
  <si>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</si>
  <si>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</si>
  <si>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</si>
  <si>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</si>
  <si>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</si>
  <si>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</si>
  <si>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</si>
  <si>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</si>
  <si>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</si>
  <si>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</si>
  <si>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</si>
  <si>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</si>
  <si>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</si>
  <si>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</si>
  <si>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</si>
  <si>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</si>
  <si>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</si>
  <si>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</si>
  <si>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</si>
  <si>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</si>
  <si>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</si>
  <si>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</si>
  <si>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</si>
  <si>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</si>
  <si>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</si>
  <si>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</si>
  <si>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</si>
  <si>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</si>
  <si>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</si>
  <si>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</si>
  <si>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</si>
  <si>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</si>
  <si>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</si>
  <si>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</si>
  <si>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</si>
  <si>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</si>
  <si>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</si>
  <si>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</si>
  <si>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</si>
  <si>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</si>
  <si>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</si>
  <si>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</si>
  <si>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</si>
  <si>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</si>
  <si>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</si>
  <si>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</si>
  <si>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</si>
  <si>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</si>
  <si>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</si>
  <si>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</si>
  <si>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</si>
  <si>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</si>
  <si>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</si>
  <si>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</si>
  <si>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</si>
  <si>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</si>
  <si>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</si>
  <si>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</si>
  <si>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</si>
  <si>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</si>
  <si>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</si>
  <si>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</si>
  <si>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</si>
  <si>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</si>
  <si>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</si>
  <si>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</si>
  <si>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</si>
  <si>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</si>
  <si>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</si>
  <si>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</si>
  <si>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</si>
  <si>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</si>
  <si>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</si>
  <si>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</si>
  <si>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</si>
  <si>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</si>
  <si>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</si>
  <si>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</si>
  <si>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</si>
  <si>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</si>
  <si>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</si>
  <si>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</si>
  <si>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</si>
  <si>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</si>
  <si>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</si>
  <si>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</si>
  <si>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</si>
  <si>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</si>
  <si>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</si>
  <si>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</si>
  <si>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</si>
  <si>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</si>
  <si>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</si>
  <si>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</si>
  <si>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</si>
  <si>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</si>
  <si>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</si>
  <si>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</si>
  <si>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</si>
  <si>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</si>
  <si>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</si>
  <si>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</si>
  <si>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</si>
  <si>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</si>
  <si>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</si>
  <si>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</si>
  <si>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</si>
  <si>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</si>
  <si>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</si>
  <si>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</si>
  <si>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</si>
  <si>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</si>
  <si>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</si>
  <si>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</si>
  <si>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</si>
  <si>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</si>
  <si>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</si>
  <si>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</si>
  <si>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</si>
  <si>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</si>
  <si>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</si>
  <si>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</si>
  <si>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</si>
  <si>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</si>
  <si>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</si>
  <si>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</si>
  <si>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</si>
  <si>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</si>
  <si>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</si>
  <si>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</si>
  <si>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</si>
  <si>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</si>
  <si>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</si>
  <si>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</si>
  <si>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</si>
  <si>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</si>
  <si>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</si>
  <si>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</si>
  <si>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</si>
  <si>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</si>
  <si>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</si>
  <si>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</si>
  <si>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</si>
  <si>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</si>
  <si>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</si>
  <si>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</si>
  <si>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</si>
  <si>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</si>
  <si>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</si>
  <si>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</si>
  <si>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</si>
  <si>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</si>
  <si>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</si>
  <si>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</si>
  <si>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</si>
  <si>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</si>
  <si>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</si>
  <si>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</si>
  <si>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</si>
  <si>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</si>
  <si>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</si>
  <si>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</si>
  <si>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</si>
  <si>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</si>
  <si>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</si>
  <si>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</si>
  <si>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</si>
  <si>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</si>
  <si>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</si>
  <si>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</si>
  <si>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</si>
  <si>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</si>
  <si>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</si>
  <si>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</si>
  <si>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</si>
  <si>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</si>
  <si>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</si>
  <si>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</si>
  <si>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</si>
  <si>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</si>
  <si>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</si>
  <si>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</si>
  <si>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</si>
  <si>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</si>
  <si>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</si>
  <si>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</si>
  <si>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</si>
  <si>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</si>
  <si>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</si>
  <si>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</si>
  <si>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</si>
  <si>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</si>
  <si>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</si>
  <si>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</si>
  <si>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</si>
  <si>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</si>
  <si>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</si>
  <si>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</si>
  <si>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</si>
  <si>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</si>
  <si>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</si>
  <si>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</si>
  <si>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</si>
  <si>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</si>
  <si>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</si>
  <si>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</si>
  <si>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</si>
  <si>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</si>
  <si>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</si>
  <si>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</si>
  <si>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</si>
  <si>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</si>
  <si>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</si>
  <si>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</si>
  <si>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</si>
  <si>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</si>
  <si>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</si>
  <si>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</si>
  <si>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</si>
  <si>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</si>
  <si>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</si>
  <si>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</si>
  <si>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</si>
  <si>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</si>
  <si>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</si>
  <si>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</si>
  <si>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</si>
  <si>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</si>
  <si>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</si>
  <si>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</si>
  <si>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</si>
  <si>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</si>
  <si>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</si>
  <si>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</si>
  <si>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</si>
  <si>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</si>
  <si>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</si>
  <si>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</si>
  <si>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</si>
  <si>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</si>
  <si>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</si>
  <si>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</si>
  <si>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</si>
  <si>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</si>
  <si>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</si>
  <si>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</si>
  <si>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</si>
  <si>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</si>
  <si>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</si>
  <si>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</si>
  <si>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</si>
  <si>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</si>
  <si>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</si>
  <si>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</si>
  <si>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</si>
  <si>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</si>
  <si>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</si>
  <si>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</si>
  <si>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</si>
  <si>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</si>
  <si>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</si>
  <si>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</si>
  <si>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</si>
  <si>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</si>
  <si>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</si>
  <si>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</si>
  <si>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</si>
  <si>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</si>
  <si>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</si>
  <si>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</si>
  <si>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</si>
  <si>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</si>
  <si>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</si>
  <si>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</si>
  <si>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</si>
  <si>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</si>
  <si>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</si>
  <si>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</si>
  <si>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</si>
  <si>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</si>
  <si>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</si>
  <si>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</si>
  <si>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</si>
  <si>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</si>
  <si>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</si>
  <si>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</si>
  <si>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</si>
  <si>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</si>
  <si>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</si>
  <si>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</si>
  <si>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</si>
  <si>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</si>
  <si>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</si>
  <si>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</si>
  <si>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</si>
  <si>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</si>
  <si>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</si>
  <si>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</si>
  <si>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</si>
  <si>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</si>
  <si>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</si>
  <si>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</si>
  <si>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</si>
  <si>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</si>
  <si>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</si>
  <si>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</si>
  <si>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</si>
  <si>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</si>
  <si>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</si>
  <si>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</si>
  <si>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</si>
  <si>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</si>
  <si>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</si>
  <si>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</si>
  <si>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</si>
  <si>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</si>
  <si>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</si>
  <si>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</si>
  <si>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</si>
  <si>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</si>
  <si>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</si>
  <si>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</si>
  <si>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</si>
  <si>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</si>
  <si>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</si>
  <si>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</si>
  <si>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</si>
  <si>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</si>
  <si>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</si>
  <si>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</si>
  <si>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</si>
  <si>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</si>
  <si>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</si>
  <si>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</si>
  <si>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</si>
  <si>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</si>
  <si>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</si>
  <si>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</si>
  <si>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</si>
  <si>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</si>
  <si>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</si>
  <si>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</si>
  <si>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</si>
  <si>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</si>
  <si>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</si>
  <si>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</si>
  <si>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</si>
  <si>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</si>
  <si>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</si>
  <si>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</si>
  <si>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</si>
  <si>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</si>
  <si>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</si>
  <si>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</si>
  <si>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</si>
  <si>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</si>
  <si>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</si>
  <si>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</si>
  <si>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</si>
  <si>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</si>
  <si>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</si>
  <si>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</si>
  <si>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</si>
  <si>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</si>
  <si>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</si>
  <si>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</si>
  <si>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</si>
  <si>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</si>
  <si>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</si>
  <si>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</si>
  <si>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</si>
  <si>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</si>
  <si>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</si>
  <si>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</si>
  <si>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</si>
  <si>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</si>
  <si>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</si>
  <si>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</si>
  <si>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</si>
  <si>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</si>
  <si>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</si>
  <si>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</si>
  <si>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</si>
  <si>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</si>
  <si>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</si>
  <si>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</si>
  <si>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</si>
  <si>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</si>
  <si>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</si>
  <si>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</si>
  <si>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</si>
  <si>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</si>
  <si>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</si>
  <si>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</si>
  <si>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</si>
  <si>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</si>
  <si>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</si>
  <si>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</si>
  <si>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</si>
  <si>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</si>
  <si>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</si>
  <si>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</si>
  <si>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</si>
  <si>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</si>
  <si>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</si>
  <si>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</si>
  <si>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</si>
  <si>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</si>
  <si>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</si>
  <si>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</si>
  <si>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</si>
  <si>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</si>
  <si>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</si>
  <si>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</si>
  <si>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</si>
  <si>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</si>
  <si>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</si>
  <si>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</si>
  <si>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</si>
  <si>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</si>
  <si>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</si>
  <si>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</si>
  <si>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</si>
  <si>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</si>
  <si>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</si>
  <si>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</si>
  <si>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</si>
  <si>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</si>
  <si>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</si>
  <si>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</si>
  <si>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</si>
  <si>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</si>
  <si>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</si>
  <si>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</si>
  <si>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</si>
  <si>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</si>
  <si>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</si>
  <si>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</si>
  <si>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</si>
  <si>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</si>
  <si>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</si>
  <si>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</si>
  <si>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</si>
  <si>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</si>
  <si>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</si>
  <si>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</si>
  <si>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</si>
  <si>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</si>
  <si>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</si>
  <si>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</si>
  <si>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</si>
  <si>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</si>
  <si>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</si>
  <si>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</si>
  <si>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</si>
  <si>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</si>
  <si>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</si>
  <si>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</si>
  <si>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</si>
  <si>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</si>
  <si>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</si>
  <si>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</si>
  <si>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</si>
  <si>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</si>
  <si>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</si>
  <si>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</si>
  <si>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</si>
  <si>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</si>
  <si>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</si>
  <si>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</si>
  <si>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</si>
  <si>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</si>
  <si>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</si>
  <si>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</si>
  <si>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</si>
  <si>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</si>
  <si>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</si>
  <si>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</si>
  <si>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</si>
  <si>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</si>
  <si>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</si>
  <si>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</si>
  <si>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</si>
  <si>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</si>
  <si>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</si>
  <si>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</si>
  <si>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</si>
  <si>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</si>
  <si>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</si>
  <si>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</si>
  <si>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</si>
  <si>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</si>
  <si>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</si>
  <si>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</si>
  <si>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</si>
  <si>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</si>
  <si>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</si>
  <si>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</si>
  <si>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</si>
  <si>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</si>
  <si>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</si>
  <si>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</si>
  <si>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</si>
  <si>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</si>
  <si>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</si>
  <si>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</si>
  <si>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</si>
  <si>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</si>
  <si>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</si>
  <si>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</si>
  <si>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</si>
  <si>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</si>
  <si>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</si>
  <si>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</si>
  <si>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</si>
  <si>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</si>
  <si>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</si>
  <si>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</si>
  <si>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</si>
  <si>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</si>
  <si>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</si>
  <si>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</si>
  <si>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</si>
  <si>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</si>
  <si>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</si>
  <si>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</si>
  <si>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</si>
  <si>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</si>
  <si>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</si>
  <si>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</si>
  <si>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</si>
  <si>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</si>
  <si>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</si>
  <si>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</si>
  <si>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</si>
  <si>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</si>
  <si>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</si>
  <si>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</si>
  <si>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</si>
  <si>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</si>
  <si>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</si>
  <si>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</si>
  <si>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</si>
  <si>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</si>
  <si>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</si>
  <si>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</si>
  <si>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</si>
  <si>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</si>
  <si>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</si>
  <si>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</si>
  <si>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</si>
  <si>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</si>
  <si>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</si>
  <si>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</si>
  <si>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</si>
  <si>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</si>
  <si>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</si>
  <si>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</si>
  <si>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</si>
  <si>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</si>
  <si>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</si>
  <si>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</si>
  <si>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</si>
  <si>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</si>
  <si>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</si>
  <si>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</si>
  <si>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</si>
  <si>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</si>
  <si>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</si>
  <si>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</si>
  <si>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</si>
  <si>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</si>
  <si>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</si>
  <si>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</si>
  <si>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</si>
  <si>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</si>
  <si>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</si>
  <si>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</si>
  <si>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</si>
  <si>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</si>
  <si>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</si>
  <si>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</si>
  <si>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</si>
  <si>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</si>
  <si>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</si>
  <si>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</si>
  <si>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</si>
  <si>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</si>
  <si>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</si>
  <si>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</si>
  <si>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</si>
  <si>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</si>
  <si>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</si>
  <si>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</si>
  <si>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</si>
  <si>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</si>
  <si>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</si>
  <si>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</si>
  <si>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</si>
  <si>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</si>
  <si>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</si>
  <si>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</si>
  <si>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</si>
  <si>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</si>
  <si>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</si>
  <si>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</si>
  <si>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</si>
  <si>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</si>
  <si>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</si>
  <si>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</si>
  <si>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</si>
  <si>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</si>
  <si>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</si>
  <si>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</si>
  <si>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</si>
  <si>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</si>
  <si>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</si>
  <si>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</si>
  <si>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</si>
  <si>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</si>
  <si>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</si>
  <si>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</si>
  <si>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</si>
  <si>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</si>
  <si>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</si>
  <si>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</si>
  <si>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</si>
  <si>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</si>
  <si>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</si>
  <si>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</si>
  <si>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</si>
  <si>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</si>
  <si>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</si>
  <si>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</si>
  <si>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</si>
  <si>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</si>
  <si>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</si>
  <si>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</si>
  <si>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</si>
  <si>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</si>
  <si>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</si>
  <si>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</si>
  <si>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</si>
  <si>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</si>
  <si>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</si>
  <si>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</si>
  <si>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</si>
  <si>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</si>
  <si>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</si>
  <si>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</si>
  <si>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</si>
  <si>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</si>
  <si>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</si>
  <si>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</si>
  <si>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</si>
  <si>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</si>
  <si>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</si>
  <si>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</si>
  <si>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</si>
  <si>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</si>
  <si>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</si>
  <si>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</si>
  <si>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</si>
  <si>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</si>
  <si>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</si>
  <si>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</si>
  <si>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</si>
  <si>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</si>
  <si>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</si>
  <si>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</si>
  <si>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</si>
  <si>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</si>
  <si>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</si>
  <si>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</si>
  <si>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</si>
  <si>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</si>
  <si>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</si>
  <si>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</si>
  <si>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</si>
  <si>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</si>
  <si>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</si>
  <si>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</si>
  <si>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</si>
  <si>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</si>
  <si>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</si>
  <si>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</si>
  <si>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</si>
  <si>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</si>
  <si>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</si>
  <si>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</si>
  <si>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</si>
  <si>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</si>
  <si>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</si>
  <si>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</si>
  <si>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</si>
  <si>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</si>
  <si>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</si>
  <si>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</si>
  <si>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</si>
  <si>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</si>
  <si>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</si>
  <si>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</si>
  <si>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</si>
  <si>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</si>
  <si>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</si>
  <si>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</si>
  <si>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</si>
  <si>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</si>
  <si>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</si>
  <si>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</si>
  <si>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</si>
  <si>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</si>
  <si>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</si>
  <si>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</si>
  <si>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</si>
  <si>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</si>
  <si>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</si>
  <si>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</si>
  <si>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</si>
  <si>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</si>
  <si>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</si>
  <si>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</si>
  <si>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</si>
  <si>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</si>
  <si>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</si>
  <si>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</si>
  <si>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</si>
  <si>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</si>
  <si>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</si>
  <si>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</si>
  <si>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</si>
  <si>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</si>
  <si>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</si>
  <si>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</si>
  <si>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</si>
  <si>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</si>
  <si>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</si>
  <si>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</si>
  <si>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</si>
  <si>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</si>
  <si>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</si>
  <si>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</si>
  <si>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</si>
  <si>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</si>
  <si>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</si>
  <si>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</si>
  <si>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</si>
  <si>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</si>
  <si>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</si>
  <si>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</si>
  <si>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</si>
  <si>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</si>
  <si>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</si>
  <si>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</si>
  <si>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</si>
  <si>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</si>
  <si>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</si>
  <si>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</si>
  <si>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</si>
  <si>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</si>
  <si>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</si>
  <si>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</si>
  <si>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</si>
  <si>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</si>
  <si>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</si>
  <si>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</si>
  <si>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</si>
  <si>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</si>
  <si>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</si>
  <si>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</si>
  <si>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</si>
  <si>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</si>
  <si>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</si>
  <si>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</si>
  <si>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</si>
  <si>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</si>
  <si>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</si>
  <si>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</si>
  <si>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</si>
  <si>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</si>
  <si>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</si>
  <si>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</si>
  <si>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</si>
  <si>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</si>
  <si>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</si>
  <si>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</si>
  <si>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</si>
  <si>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</si>
  <si>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</si>
  <si>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</si>
  <si>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</si>
  <si>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</si>
  <si>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</si>
  <si>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</si>
  <si>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</si>
  <si>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</si>
  <si>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</si>
  <si>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</si>
  <si>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</si>
  <si>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</si>
  <si>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</si>
  <si>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</si>
  <si>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</si>
  <si>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</si>
  <si>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</si>
  <si>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</si>
  <si>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</si>
  <si>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</si>
  <si>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</si>
  <si>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</si>
  <si>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</si>
  <si>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</si>
  <si>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</si>
  <si>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</si>
  <si>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</si>
  <si>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</si>
  <si>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</si>
  <si>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</si>
  <si>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</si>
  <si>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</si>
  <si>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</si>
  <si>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</si>
  <si>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</si>
  <si>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</si>
  <si>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</si>
  <si>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</si>
  <si>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</si>
  <si>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</si>
  <si>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</si>
  <si>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</si>
  <si>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</si>
  <si>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</si>
  <si>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</si>
  <si>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</si>
  <si>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</si>
  <si>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</si>
  <si>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</si>
  <si>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</si>
  <si>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</si>
  <si>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</si>
  <si>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</si>
  <si>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</si>
  <si>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</si>
  <si>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</si>
  <si>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</si>
  <si>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</si>
  <si>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</si>
  <si>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</si>
  <si>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</si>
  <si>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</si>
  <si>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</si>
  <si>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</si>
  <si>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</si>
  <si>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</si>
  <si>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</si>
  <si>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</si>
  <si>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</si>
  <si>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</si>
  <si>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</si>
  <si>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</si>
  <si>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</si>
  <si>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</si>
  <si>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</si>
  <si>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</si>
  <si>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</si>
  <si>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</si>
  <si>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</si>
  <si>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</si>
  <si>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</si>
  <si>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</si>
  <si>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</si>
  <si>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</si>
  <si>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</si>
  <si>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</si>
  <si>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</si>
  <si>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</si>
  <si>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</si>
  <si>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</si>
  <si>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</si>
  <si>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</si>
  <si>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</si>
  <si>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</si>
  <si>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</si>
  <si>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</si>
  <si>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</si>
  <si>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</si>
  <si>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</si>
  <si>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</si>
  <si>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</si>
  <si>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</si>
  <si>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</si>
  <si>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</si>
  <si>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</si>
  <si>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</si>
  <si>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</si>
  <si>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</si>
  <si>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</si>
  <si>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</si>
  <si>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</si>
  <si>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</si>
  <si>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</si>
  <si>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</si>
  <si>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</si>
  <si>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</si>
  <si>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</si>
  <si>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</si>
  <si>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</si>
  <si>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</si>
  <si>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</si>
  <si>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</si>
  <si>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</si>
  <si>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</si>
  <si>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</si>
  <si>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</si>
  <si>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</si>
  <si>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</si>
  <si>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</si>
  <si>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</si>
  <si>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</si>
  <si>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</si>
  <si>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</si>
  <si>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</si>
  <si>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</si>
  <si>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</si>
  <si>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</si>
  <si>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</si>
  <si>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</si>
  <si>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</si>
  <si>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</si>
  <si>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</si>
  <si>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</si>
  <si>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</si>
  <si>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</si>
  <si>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</si>
  <si>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</si>
  <si>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</si>
  <si>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</si>
  <si>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</si>
  <si>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</si>
  <si>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</si>
  <si>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</si>
  <si>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</si>
  <si>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</si>
  <si>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</si>
  <si>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</si>
  <si>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</si>
  <si>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</si>
  <si>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</si>
  <si>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</si>
  <si>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</si>
  <si>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</si>
  <si>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</si>
  <si>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</si>
  <si>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</si>
  <si>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</si>
  <si>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</si>
  <si>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</si>
  <si>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</si>
  <si>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</si>
  <si>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</si>
  <si>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</si>
  <si>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</si>
  <si>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</si>
  <si>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</si>
  <si>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</si>
  <si>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</si>
  <si>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</si>
  <si>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</si>
  <si>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</si>
  <si>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</si>
  <si>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</si>
  <si>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</si>
  <si>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</si>
  <si>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</si>
  <si>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</si>
  <si>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</si>
  <si>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</si>
  <si>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</si>
  <si>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</si>
  <si>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</si>
  <si>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</si>
  <si>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</si>
  <si>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</si>
  <si>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</si>
  <si>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</si>
  <si>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</si>
  <si>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</si>
  <si>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</si>
  <si>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</si>
  <si>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</si>
  <si>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</si>
  <si>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</si>
  <si>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</si>
  <si>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</si>
  <si>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</si>
  <si>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</si>
  <si>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</si>
  <si>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</si>
  <si>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</si>
  <si>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</si>
  <si>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</si>
  <si>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</si>
  <si>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</si>
  <si>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</si>
  <si>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</si>
  <si>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</si>
  <si>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</si>
  <si>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</si>
  <si>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</si>
  <si>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</si>
  <si>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</si>
  <si>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</si>
  <si>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</si>
  <si>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</si>
  <si>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</si>
  <si>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</si>
  <si>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</si>
  <si>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</si>
  <si>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</si>
  <si>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</si>
  <si>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</si>
  <si>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</si>
  <si>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</si>
  <si>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</si>
  <si>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</si>
  <si>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</si>
  <si>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</si>
  <si>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</si>
  <si>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</si>
  <si>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</si>
  <si>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</si>
  <si>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</si>
  <si>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</si>
  <si>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</si>
  <si>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</si>
  <si>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</si>
  <si>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</si>
  <si>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</si>
  <si>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</si>
  <si>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</si>
  <si>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</si>
  <si>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</si>
  <si>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</si>
  <si>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</si>
  <si>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</si>
  <si>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</si>
  <si>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</si>
  <si>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</si>
  <si>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</si>
  <si>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</si>
  <si>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</si>
  <si>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</si>
  <si>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</si>
  <si>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</si>
  <si>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</si>
  <si>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</si>
  <si>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</si>
  <si>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</si>
  <si>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</si>
  <si>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</si>
  <si>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</si>
  <si>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</si>
  <si>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</si>
  <si>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</si>
  <si>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</si>
  <si>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</si>
  <si>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</si>
  <si>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</si>
  <si>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</si>
  <si>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</si>
  <si>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</si>
  <si>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</si>
  <si>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</si>
  <si>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</si>
  <si>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</si>
  <si>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</si>
  <si>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</si>
  <si>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</si>
  <si>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</si>
  <si>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</si>
  <si>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</si>
  <si>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</si>
  <si>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</si>
  <si>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</si>
  <si>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</si>
  <si>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</si>
  <si>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</si>
  <si>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</si>
  <si>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</si>
  <si>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</si>
  <si>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</si>
  <si>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</si>
  <si>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</si>
  <si>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</si>
  <si>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</si>
  <si>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</si>
  <si>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</si>
  <si>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</si>
  <si>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</si>
  <si>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</si>
  <si>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</si>
  <si>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</si>
  <si>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</si>
  <si>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</si>
  <si>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</si>
  <si>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</si>
  <si>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</si>
  <si>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</si>
  <si>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</si>
  <si>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</si>
  <si>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</si>
  <si>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</si>
  <si>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</si>
  <si>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</si>
  <si>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</si>
  <si>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</si>
  <si>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</si>
  <si>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</si>
  <si>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</si>
  <si>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</si>
  <si>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</si>
  <si>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</si>
  <si>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</si>
  <si>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</si>
  <si>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</si>
  <si>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</si>
  <si>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</si>
  <si>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</si>
  <si>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</si>
  <si>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</si>
  <si>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</si>
  <si>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</si>
  <si>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</si>
  <si>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</si>
  <si>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</si>
  <si>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</si>
  <si>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</si>
  <si>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</si>
  <si>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</si>
  <si>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</si>
  <si>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</si>
  <si>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</si>
  <si>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</si>
  <si>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</si>
  <si>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</si>
  <si>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</si>
  <si>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</si>
  <si>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</si>
  <si>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</si>
  <si>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</si>
  <si>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</si>
  <si>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</si>
  <si>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</si>
  <si>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</si>
  <si>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</si>
  <si>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</si>
  <si>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</si>
  <si>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</si>
  <si>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</si>
  <si>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</si>
  <si>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</si>
  <si>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</si>
  <si>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</si>
  <si>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</si>
  <si>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</si>
  <si>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</si>
  <si>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</si>
  <si>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</si>
  <si>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</si>
  <si>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</si>
  <si>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</si>
  <si>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</si>
  <si>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</si>
  <si>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</si>
  <si>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</si>
  <si>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</si>
  <si>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</si>
  <si>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</si>
  <si>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</si>
  <si>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</si>
  <si>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</si>
  <si>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</si>
  <si>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</si>
  <si>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</si>
  <si>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</si>
  <si>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</si>
  <si>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</si>
  <si>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</si>
  <si>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</si>
  <si>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</si>
  <si>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</si>
  <si>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</si>
  <si>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</si>
  <si>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</si>
  <si>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</si>
  <si>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</si>
  <si>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</si>
  <si>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</si>
  <si>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</si>
  <si>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</si>
  <si>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</si>
  <si>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</si>
  <si>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</si>
  <si>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</si>
  <si>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</si>
  <si>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</si>
  <si>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</si>
  <si>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</si>
  <si>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</si>
  <si>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</si>
  <si>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</si>
  <si>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</si>
  <si>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</si>
  <si>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</si>
  <si>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</si>
  <si>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</si>
  <si>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</si>
  <si>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</si>
  <si>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</si>
  <si>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</si>
  <si>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</si>
  <si>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</si>
  <si>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</si>
  <si>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</si>
  <si>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</si>
  <si>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</si>
  <si>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</si>
  <si>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</si>
  <si>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</si>
  <si>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</si>
  <si>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</si>
  <si>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</si>
  <si>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</si>
  <si>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</si>
  <si>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</si>
  <si>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</si>
  <si>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</si>
  <si>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</si>
  <si>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</si>
  <si>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</si>
  <si>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</si>
  <si>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</si>
  <si>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</si>
  <si>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</si>
  <si>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</si>
  <si>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</si>
  <si>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</si>
  <si>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</si>
  <si>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</si>
  <si>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</si>
  <si>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</si>
  <si>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</si>
  <si>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</si>
  <si>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</si>
  <si>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</si>
  <si>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</si>
  <si>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</si>
  <si>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</si>
  <si>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</si>
  <si>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</si>
  <si>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</si>
  <si>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</si>
  <si>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</si>
  <si>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</si>
  <si>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</si>
  <si>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</si>
  <si>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</si>
  <si>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</si>
  <si>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</si>
  <si>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</si>
  <si>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</si>
  <si>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</si>
  <si>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</si>
  <si>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</si>
  <si>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</si>
  <si>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</si>
  <si>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</si>
  <si>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</si>
  <si>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</si>
  <si>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</si>
  <si>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</si>
  <si>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</si>
  <si>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</si>
  <si>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</si>
  <si>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</si>
  <si>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</si>
  <si>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</si>
  <si>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</si>
  <si>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</si>
  <si>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</si>
  <si>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</si>
  <si>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</si>
  <si>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</si>
  <si>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</si>
  <si>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</si>
  <si>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</si>
  <si>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</si>
  <si>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</si>
  <si>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</si>
  <si>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</si>
  <si>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</si>
  <si>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</si>
  <si>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</si>
  <si>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</si>
  <si>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</si>
  <si>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</si>
  <si>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</si>
  <si>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</si>
  <si>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</si>
  <si>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</si>
  <si>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</si>
  <si>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</si>
  <si>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</si>
  <si>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</si>
  <si>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</si>
  <si>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</si>
  <si>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</si>
  <si>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</si>
  <si>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</si>
  <si>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</si>
  <si>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</si>
  <si>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</si>
  <si>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</si>
  <si>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</si>
  <si>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</si>
  <si>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</si>
  <si>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</si>
  <si>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</si>
  <si>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</si>
  <si>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</si>
  <si>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</si>
  <si>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</si>
  <si>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</si>
  <si>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</si>
  <si>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</si>
  <si>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</si>
  <si>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</si>
  <si>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</si>
  <si>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</si>
  <si>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</si>
  <si>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</si>
  <si>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</si>
  <si>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</si>
  <si>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</si>
  <si>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</si>
  <si>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</si>
  <si>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</si>
  <si>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</si>
  <si>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</si>
  <si>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</si>
  <si>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</si>
  <si>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</si>
  <si>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</si>
  <si>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</si>
  <si>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</si>
  <si>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</si>
  <si>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</si>
  <si>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</si>
  <si>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</si>
  <si>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</si>
  <si>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</si>
  <si>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</si>
  <si>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</si>
  <si>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</si>
  <si>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</si>
  <si>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</si>
  <si>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</si>
  <si>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</si>
  <si>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</si>
  <si>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</si>
  <si>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</si>
  <si>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</si>
  <si>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</si>
  <si>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</si>
  <si>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</si>
  <si>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</si>
  <si>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</si>
  <si>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</si>
  <si>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</si>
  <si>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</si>
  <si>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</si>
  <si>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</si>
  <si>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</si>
  <si>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</si>
  <si>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</si>
  <si>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</si>
  <si>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</si>
  <si>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</si>
  <si>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</si>
  <si>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</si>
  <si>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</si>
  <si>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</si>
  <si>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</si>
  <si>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</si>
  <si>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</si>
  <si>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</si>
  <si>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</si>
  <si>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</si>
  <si>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</si>
  <si>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</si>
  <si>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</si>
  <si>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</si>
  <si>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</si>
  <si>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</si>
  <si>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</si>
  <si>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</si>
  <si>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</si>
  <si>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</si>
  <si>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</si>
  <si>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</si>
  <si>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</si>
  <si>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</si>
  <si>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</si>
  <si>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</si>
  <si>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</si>
  <si>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</si>
  <si>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</si>
  <si>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</si>
  <si>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</si>
  <si>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</si>
  <si>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</si>
  <si>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</si>
  <si>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</si>
  <si>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</si>
  <si>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</si>
  <si>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</si>
  <si>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</si>
  <si>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</si>
  <si>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</si>
  <si>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</si>
  <si>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</si>
  <si>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</si>
  <si>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</si>
  <si>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</si>
  <si>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</si>
  <si>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</si>
  <si>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</si>
  <si>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</si>
  <si>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</si>
  <si>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</si>
  <si>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</si>
  <si>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</si>
  <si>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</si>
  <si>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</si>
  <si>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</si>
  <si>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</si>
  <si>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</si>
  <si>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</si>
  <si>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</si>
  <si>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</si>
  <si>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</si>
  <si>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</si>
  <si>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</si>
  <si>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</si>
  <si>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</si>
  <si>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</si>
  <si>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</si>
  <si>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</si>
  <si>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</si>
  <si>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</si>
  <si>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</si>
  <si>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</si>
  <si>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</si>
  <si>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</si>
  <si>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</si>
  <si>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</si>
  <si>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</si>
  <si>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</si>
  <si>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</si>
  <si>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</si>
  <si>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</si>
  <si>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</si>
  <si>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</si>
  <si>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</si>
  <si>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</si>
  <si>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</si>
  <si>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</si>
  <si>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</si>
  <si>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</si>
  <si>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</si>
  <si>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</si>
  <si>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</si>
  <si>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</si>
  <si>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</si>
  <si>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</si>
  <si>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</si>
  <si>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</si>
  <si>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</si>
  <si>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</si>
  <si>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</si>
  <si>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</si>
  <si>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</si>
  <si>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</si>
  <si>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</si>
  <si>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</si>
  <si>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</si>
  <si>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</si>
  <si>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</si>
  <si>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</si>
  <si>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</si>
  <si>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</si>
  <si>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</si>
  <si>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</si>
  <si>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</si>
  <si>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</si>
  <si>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</si>
  <si>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</si>
  <si>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</si>
  <si>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</si>
  <si>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</si>
  <si>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</si>
  <si>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</si>
  <si>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</si>
  <si>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</si>
  <si>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</si>
  <si>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</si>
  <si>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</si>
  <si>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</si>
  <si>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</si>
  <si>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</si>
  <si>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</si>
  <si>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</si>
  <si>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</si>
  <si>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</si>
  <si>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</si>
  <si>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</si>
  <si>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</si>
  <si>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</si>
  <si>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</si>
  <si>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</si>
  <si>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</si>
  <si>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</si>
  <si>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</si>
  <si>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</si>
  <si>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</si>
  <si>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</si>
  <si>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</si>
  <si>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</si>
  <si>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</si>
  <si>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</si>
  <si>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</si>
  <si>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</si>
  <si>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</si>
  <si>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</si>
  <si>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</si>
  <si>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</si>
  <si>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</si>
  <si>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</si>
  <si>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</si>
  <si>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</si>
  <si>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</si>
  <si>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</si>
  <si>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</si>
  <si>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</si>
  <si>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</si>
  <si>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</si>
  <si>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</si>
  <si>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</si>
  <si>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</si>
  <si>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</si>
  <si>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</si>
  <si>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</si>
  <si>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</si>
  <si>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</si>
  <si>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</si>
  <si>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</si>
  <si>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</si>
  <si>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</si>
  <si>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</si>
  <si>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</si>
  <si>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</si>
  <si>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</si>
  <si>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</si>
  <si>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</si>
  <si>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</si>
  <si>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</si>
  <si>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</si>
  <si>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</si>
  <si>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</si>
  <si>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</si>
  <si>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</si>
  <si>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</si>
  <si>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</si>
  <si>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</si>
  <si>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</si>
  <si>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</si>
  <si>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</si>
  <si>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</si>
  <si>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</si>
  <si>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</si>
  <si>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</si>
  <si>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</si>
  <si>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</si>
  <si>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</si>
  <si>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</si>
  <si>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</si>
  <si>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</si>
  <si>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</si>
  <si>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</si>
  <si>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</si>
  <si>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</si>
  <si>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</si>
  <si>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</si>
  <si>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</si>
  <si>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</si>
  <si>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</si>
  <si>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</si>
  <si>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</si>
  <si>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</si>
  <si>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</si>
  <si>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</si>
  <si>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</si>
  <si>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</si>
  <si>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</si>
  <si>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</si>
  <si>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</si>
  <si>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</si>
  <si>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</si>
  <si>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</si>
  <si>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</si>
  <si>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</si>
  <si>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</si>
  <si>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</si>
  <si>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</si>
  <si>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</si>
  <si>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</si>
  <si>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</si>
  <si>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</si>
  <si>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</si>
  <si>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</si>
  <si>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</si>
  <si>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</si>
  <si>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</si>
  <si>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</si>
  <si>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</si>
  <si>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</si>
  <si>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</si>
  <si>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</si>
  <si>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</si>
  <si>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</si>
  <si>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</si>
  <si>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</si>
  <si>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</si>
  <si>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</si>
  <si>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</si>
  <si>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</si>
  <si>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</si>
  <si>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</si>
  <si>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</si>
  <si>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</si>
  <si>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</si>
  <si>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</si>
  <si>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</si>
  <si>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</si>
  <si>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</si>
  <si>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</si>
  <si>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</si>
  <si>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</si>
  <si>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</si>
  <si>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</si>
  <si>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</si>
  <si>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</si>
  <si>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</si>
  <si>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</si>
  <si>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</si>
  <si>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</si>
  <si>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</si>
  <si>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</si>
  <si>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</si>
  <si>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</si>
  <si>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</si>
  <si>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</si>
  <si>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</si>
  <si>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</si>
  <si>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</si>
  <si>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</si>
  <si>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</si>
  <si>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</si>
  <si>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</si>
  <si>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</si>
  <si>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</si>
  <si>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</si>
  <si>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</si>
  <si>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</si>
  <si>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</si>
  <si>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</si>
  <si>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</si>
  <si>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</si>
  <si>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</si>
  <si>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</si>
  <si>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</si>
  <si>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</si>
  <si>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</si>
  <si>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</si>
  <si>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</si>
  <si>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</si>
  <si>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</si>
  <si>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</si>
  <si>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</si>
  <si>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</si>
  <si>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</si>
  <si>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</si>
  <si>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</si>
  <si>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</si>
  <si>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</si>
  <si>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</si>
  <si>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</si>
  <si>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</si>
  <si>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</si>
  <si>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</si>
  <si>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</si>
  <si>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</si>
  <si>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</si>
  <si>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</si>
  <si>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</si>
  <si>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</si>
  <si>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</si>
  <si>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</si>
  <si>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</si>
  <si>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</si>
  <si>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</si>
  <si>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</si>
  <si>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</si>
  <si>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</si>
  <si>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</si>
  <si>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</si>
  <si>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</si>
  <si>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</si>
  <si>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</si>
  <si>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</si>
  <si>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</si>
  <si>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</si>
  <si>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</si>
  <si>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</si>
  <si>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</si>
  <si>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</si>
  <si>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</si>
  <si>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</si>
  <si>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</si>
  <si>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</si>
  <si>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</si>
  <si>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</si>
  <si>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</si>
  <si>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</si>
  <si>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</si>
  <si>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</si>
  <si>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</si>
  <si>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</si>
  <si>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</si>
  <si>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</si>
  <si>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</si>
  <si>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</si>
  <si>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</si>
  <si>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</si>
  <si>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</si>
  <si>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</si>
  <si>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</si>
  <si>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</si>
  <si>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</si>
  <si>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</si>
  <si>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</si>
  <si>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</si>
  <si>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</si>
  <si>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</si>
  <si>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</si>
  <si>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</si>
  <si>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</si>
  <si>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</si>
  <si>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</si>
  <si>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</si>
  <si>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</si>
  <si>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</si>
  <si>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</si>
  <si>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</si>
  <si>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</si>
  <si>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</si>
  <si>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</si>
  <si>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</si>
  <si>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</si>
  <si>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</si>
  <si>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</si>
  <si>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</si>
  <si>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</si>
  <si>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</si>
  <si>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</si>
  <si>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</si>
  <si>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</si>
  <si>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</si>
  <si>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</si>
  <si>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</si>
  <si>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</si>
  <si>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</si>
  <si>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</si>
  <si>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</si>
  <si>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</si>
  <si>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</si>
  <si>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</si>
  <si>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</si>
  <si>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</si>
  <si>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</si>
  <si>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</si>
  <si>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</si>
  <si>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</si>
  <si>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</si>
  <si>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</si>
  <si>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</si>
  <si>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</si>
  <si>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</si>
  <si>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</si>
  <si>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</si>
  <si>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</si>
  <si>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</si>
  <si>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</si>
  <si>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</si>
  <si>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</si>
  <si>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</si>
  <si>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</si>
  <si>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</si>
  <si>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</si>
  <si>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</si>
  <si>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</si>
  <si>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</si>
  <si>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</si>
  <si>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</si>
  <si>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</si>
  <si>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</si>
  <si>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</si>
  <si>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</si>
  <si>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</si>
  <si>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</si>
  <si>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</si>
  <si>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</si>
  <si>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</si>
  <si>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</si>
  <si>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</si>
  <si>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</si>
  <si>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</si>
  <si>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</si>
  <si>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</si>
  <si>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</si>
  <si>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</si>
  <si>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</si>
  <si>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</si>
  <si>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</si>
  <si>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</si>
  <si>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</si>
  <si>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</si>
  <si>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</si>
  <si>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</si>
  <si>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</si>
  <si>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</si>
  <si>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</si>
  <si>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</si>
  <si>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</si>
  <si>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</si>
  <si>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</si>
  <si>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</si>
  <si>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</si>
  <si>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</si>
  <si>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</si>
  <si>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</si>
  <si>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</si>
  <si>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</si>
  <si>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</si>
  <si>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</si>
  <si>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</si>
  <si>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</si>
  <si>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</si>
  <si>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</si>
  <si>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</si>
  <si>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</si>
  <si>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</si>
  <si>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</si>
  <si>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</si>
  <si>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</si>
  <si>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</si>
  <si>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</si>
  <si>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</si>
  <si>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</si>
  <si>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</si>
  <si>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</si>
  <si>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</si>
  <si>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</si>
  <si>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</si>
  <si>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</si>
  <si>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</si>
  <si>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</si>
  <si>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</si>
  <si>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</si>
  <si>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</si>
  <si>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</si>
  <si>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</si>
  <si>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</si>
  <si>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</si>
  <si>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</si>
  <si>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</si>
  <si>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</si>
  <si>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</si>
  <si>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</si>
  <si>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</si>
  <si>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</si>
  <si>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</si>
  <si>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</si>
  <si>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</si>
  <si>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</si>
  <si>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</si>
  <si>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</si>
  <si>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</si>
  <si>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</si>
  <si>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</si>
  <si>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</si>
  <si>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</si>
  <si>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</si>
  <si>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</si>
  <si>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</si>
  <si>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</si>
  <si>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</si>
  <si>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</si>
  <si>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</si>
  <si>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</si>
  <si>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</si>
  <si>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</si>
  <si>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</si>
  <si>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</si>
  <si>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</si>
  <si>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</si>
  <si>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</si>
  <si>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</si>
  <si>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</si>
  <si>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</si>
  <si>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</si>
  <si>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</si>
  <si>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</si>
  <si>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</si>
  <si>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</si>
  <si>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</si>
  <si>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</si>
  <si>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</si>
  <si>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</si>
  <si>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</si>
  <si>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</si>
  <si>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</si>
  <si>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</si>
  <si>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</si>
  <si>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</si>
  <si>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</si>
  <si>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</si>
  <si>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</si>
  <si>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</si>
  <si>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</si>
  <si>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</si>
  <si>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</si>
  <si>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</si>
  <si>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</si>
  <si>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</si>
  <si>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</si>
  <si>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</si>
  <si>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</si>
  <si>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</si>
  <si>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</si>
  <si>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</si>
  <si>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</si>
  <si>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</si>
  <si>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</si>
  <si>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</si>
  <si>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</si>
  <si>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</si>
  <si>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</si>
  <si>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</si>
  <si>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</si>
  <si>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</si>
  <si>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</si>
  <si>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</si>
  <si>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</si>
  <si>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</si>
  <si>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</si>
  <si>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</si>
  <si>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</si>
  <si>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</si>
  <si>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</si>
  <si>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</si>
  <si>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</si>
  <si>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</si>
  <si>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</si>
  <si>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</si>
  <si>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</si>
  <si>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</si>
  <si>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</si>
  <si>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</si>
  <si>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</si>
  <si>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</si>
  <si>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</si>
  <si>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</si>
  <si>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</si>
  <si>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</si>
  <si>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</si>
  <si>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</si>
  <si>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</si>
  <si>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</si>
  <si>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</si>
  <si>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</si>
  <si>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</si>
  <si>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</si>
  <si>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</si>
  <si>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</si>
  <si>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</si>
  <si>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</si>
  <si>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</si>
  <si>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</si>
  <si>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</si>
  <si>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</si>
  <si>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</si>
  <si>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</si>
  <si>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</si>
  <si>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</si>
  <si>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</si>
  <si>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</si>
  <si>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</si>
  <si>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</si>
  <si>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</si>
  <si>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</si>
  <si>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</si>
  <si>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</si>
  <si>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</si>
  <si>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</si>
  <si>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</si>
  <si>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</si>
  <si>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</si>
  <si>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</si>
  <si>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</si>
  <si>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</si>
  <si>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</si>
  <si>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</si>
  <si>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</si>
  <si>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</si>
  <si>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</si>
  <si>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</si>
  <si>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</si>
  <si>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</si>
  <si>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</si>
  <si>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</si>
  <si>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</si>
  <si>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</si>
  <si>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</si>
  <si>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</si>
  <si>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</si>
  <si>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</si>
  <si>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</si>
  <si>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</si>
  <si>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</si>
  <si>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</si>
  <si>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</si>
  <si>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</si>
  <si>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</si>
  <si>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</si>
  <si>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</si>
  <si>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</si>
  <si>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</si>
  <si>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</si>
  <si>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</si>
  <si>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</si>
  <si>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</si>
  <si>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</si>
  <si>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</si>
  <si>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</si>
  <si>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</si>
  <si>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</si>
  <si>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</si>
  <si>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</si>
  <si>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</si>
  <si>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</si>
  <si>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</si>
  <si>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</si>
  <si>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</si>
  <si>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</si>
  <si>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</si>
  <si>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</si>
  <si>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</si>
  <si>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</si>
  <si>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</si>
  <si>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</si>
  <si>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</si>
  <si>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</si>
  <si>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</si>
  <si>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</si>
  <si>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</si>
  <si>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</si>
  <si>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</si>
  <si>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</si>
  <si>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</si>
  <si>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</si>
  <si>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</si>
  <si>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</si>
  <si>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</si>
  <si>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</si>
  <si>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</si>
  <si>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</si>
  <si>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</si>
  <si>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</si>
  <si>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</si>
  <si>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</si>
  <si>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</si>
  <si>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</si>
  <si>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</si>
  <si>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</si>
  <si>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</si>
  <si>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</si>
  <si>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</si>
  <si>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</si>
  <si>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</si>
  <si>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</si>
  <si>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</si>
  <si>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</si>
  <si>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</si>
  <si>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</si>
  <si>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</si>
  <si>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</si>
  <si>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</si>
  <si>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</si>
  <si>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</si>
  <si>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</si>
  <si>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</si>
  <si>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</si>
  <si>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</si>
  <si>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</si>
  <si>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</si>
  <si>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</si>
  <si>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</si>
  <si>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</si>
  <si>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</si>
  <si>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</si>
  <si>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</si>
  <si>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</si>
  <si>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</si>
  <si>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</si>
  <si>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</si>
  <si>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</si>
  <si>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</si>
  <si>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</si>
  <si>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</si>
  <si>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</si>
  <si>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</si>
  <si>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</si>
  <si>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</si>
  <si>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</si>
  <si>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</si>
  <si>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</si>
  <si>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</si>
  <si>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</si>
  <si>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</si>
  <si>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</si>
  <si>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</si>
  <si>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</si>
  <si>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</si>
  <si>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</si>
  <si>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</si>
  <si>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</si>
  <si>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</si>
  <si>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</si>
  <si>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</si>
  <si>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</si>
  <si>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</si>
  <si>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</si>
  <si>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</si>
  <si>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</si>
  <si>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</si>
  <si>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</si>
  <si>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</si>
  <si>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</si>
  <si>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</si>
  <si>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</si>
  <si>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</si>
  <si>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</si>
  <si>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</si>
  <si>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</si>
  <si>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</si>
  <si>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</si>
  <si>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</si>
  <si>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</si>
  <si>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</si>
  <si>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</si>
  <si>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</si>
  <si>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</si>
  <si>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</si>
  <si>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</si>
  <si>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</si>
  <si>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</si>
  <si>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</si>
  <si>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</si>
  <si>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</si>
  <si>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</si>
  <si>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</si>
  <si>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</si>
  <si>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</si>
  <si>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</si>
  <si>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</si>
  <si>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</si>
  <si>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</si>
  <si>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</si>
  <si>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</si>
  <si>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</si>
  <si>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</si>
  <si>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</si>
  <si>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</si>
  <si>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</si>
  <si>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</si>
  <si>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</si>
  <si>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</si>
  <si>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</si>
  <si>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</si>
  <si>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</si>
  <si>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</si>
  <si>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</si>
  <si>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</si>
  <si>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</si>
  <si>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</si>
  <si>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</si>
  <si>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</si>
  <si>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</si>
  <si>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</si>
  <si>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</si>
  <si>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</si>
  <si>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</si>
  <si>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</si>
  <si>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</si>
  <si>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</si>
  <si>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</si>
  <si>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</si>
  <si>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</si>
  <si>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</si>
  <si>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</si>
  <si>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</si>
  <si>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</si>
  <si>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</si>
  <si>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</si>
  <si>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</si>
  <si>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</si>
  <si>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</si>
  <si>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</si>
  <si>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</si>
  <si>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</si>
  <si>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</si>
  <si>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</si>
  <si>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</si>
  <si>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</si>
  <si>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</si>
  <si>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</si>
  <si>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</si>
  <si>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</si>
  <si>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</si>
  <si>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</si>
  <si>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</si>
  <si>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</si>
  <si>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</si>
  <si>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</si>
  <si>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</si>
  <si>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</si>
  <si>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</si>
  <si>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</si>
  <si>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</si>
  <si>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</si>
  <si>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</si>
  <si>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</si>
  <si>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</si>
  <si>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</si>
  <si>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</si>
  <si>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</si>
  <si>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</si>
  <si>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</si>
  <si>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</si>
  <si>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</si>
  <si>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</si>
  <si>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</si>
  <si>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</si>
  <si>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</si>
  <si>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</si>
  <si>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</si>
  <si>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</si>
  <si>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</si>
  <si>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</si>
  <si>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</si>
  <si>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</si>
  <si>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</si>
  <si>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</si>
  <si>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</si>
  <si>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</si>
  <si>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</si>
  <si>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</si>
  <si>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</si>
  <si>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</si>
  <si>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</si>
  <si>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</si>
  <si>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</si>
  <si>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</si>
  <si>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</si>
  <si>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</si>
  <si>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</si>
  <si>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</si>
  <si>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</si>
  <si>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</si>
  <si>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</si>
  <si>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</si>
  <si>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</si>
  <si>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</si>
  <si>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</si>
  <si>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</si>
  <si>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</si>
  <si>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</si>
  <si>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</si>
  <si>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</si>
  <si>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</si>
  <si>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</si>
  <si>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</si>
  <si>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</si>
  <si>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</si>
  <si>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</si>
  <si>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</si>
  <si>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</si>
  <si>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</si>
  <si>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</si>
  <si>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</si>
  <si>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</si>
  <si>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</si>
  <si>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</si>
  <si>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</si>
  <si>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</si>
  <si>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</si>
  <si>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</si>
  <si>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</si>
  <si>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</si>
  <si>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</si>
  <si>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</si>
  <si>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</si>
  <si>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</si>
  <si>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</si>
  <si>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</si>
  <si>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</si>
  <si>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</si>
  <si>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</si>
  <si>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</si>
  <si>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</si>
  <si>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</si>
  <si>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</si>
  <si>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</si>
  <si>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</si>
  <si>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</si>
  <si>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</si>
  <si>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</si>
  <si>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</si>
  <si>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</si>
  <si>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</si>
  <si>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</si>
  <si>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</si>
  <si>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</si>
  <si>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</si>
  <si>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</si>
  <si>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</si>
  <si>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</si>
  <si>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</si>
  <si>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</si>
  <si>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</si>
  <si>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</si>
  <si>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</si>
  <si>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</si>
  <si>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</si>
  <si>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</si>
  <si>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</si>
  <si>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</si>
  <si>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</si>
  <si>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</si>
  <si>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</si>
  <si>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</si>
  <si>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</si>
  <si>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</si>
  <si>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</si>
  <si>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</si>
  <si>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</si>
  <si>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</si>
  <si>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</si>
  <si>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</si>
  <si>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</si>
  <si>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</si>
  <si>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</si>
  <si>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</si>
  <si>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</si>
  <si>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</si>
  <si>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</si>
  <si>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</si>
  <si>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</si>
  <si>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</si>
  <si>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</si>
  <si>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</si>
  <si>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</si>
  <si>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</si>
  <si>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</si>
  <si>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</si>
  <si>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</si>
  <si>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</si>
  <si>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</si>
  <si>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</si>
  <si>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</si>
  <si>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</si>
  <si>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</si>
  <si>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</si>
  <si>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</si>
  <si>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</si>
  <si>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</si>
  <si>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</si>
  <si>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</si>
  <si>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</si>
  <si>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</si>
  <si>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</si>
  <si>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</si>
  <si>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</si>
  <si>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</si>
  <si>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</si>
  <si>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</si>
  <si>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</si>
  <si>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</si>
  <si>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</si>
  <si>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</si>
  <si>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</si>
  <si>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</si>
  <si>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</si>
  <si>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</si>
  <si>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</si>
  <si>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</si>
  <si>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</si>
  <si>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</si>
  <si>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</si>
  <si>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</si>
  <si>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</si>
  <si>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</si>
  <si>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</si>
  <si>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</si>
  <si>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</si>
  <si>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</si>
  <si>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</si>
  <si>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</si>
  <si>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</si>
  <si>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</si>
  <si>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</si>
  <si>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</si>
  <si>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</si>
  <si>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</si>
  <si>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</si>
  <si>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</si>
  <si>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</si>
  <si>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</si>
  <si>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</si>
  <si>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</si>
  <si>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</si>
  <si>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</si>
  <si>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</si>
  <si>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</si>
  <si>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</si>
  <si>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</si>
  <si>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</si>
  <si>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</si>
  <si>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</si>
  <si>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</si>
  <si>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</si>
  <si>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</si>
  <si>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</si>
  <si>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</si>
  <si>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</si>
  <si>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</si>
  <si>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</si>
  <si>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</si>
  <si>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</si>
  <si>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</si>
  <si>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</si>
  <si>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</si>
  <si>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</si>
  <si>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</si>
  <si>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</si>
  <si>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</si>
  <si>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</si>
  <si>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</si>
  <si>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</si>
  <si>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</si>
  <si>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</si>
  <si>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</si>
  <si>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</si>
  <si>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</si>
  <si>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</si>
  <si>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</si>
  <si>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</si>
  <si>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</si>
  <si>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</si>
  <si>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</si>
  <si>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</si>
  <si>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</si>
  <si>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</si>
  <si>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</si>
  <si>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</si>
  <si>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</si>
  <si>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</si>
  <si>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</si>
  <si>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</si>
  <si>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</si>
  <si>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</si>
  <si>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</si>
  <si>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</si>
  <si>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</si>
  <si>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</si>
  <si>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</si>
  <si>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</si>
  <si>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</si>
  <si>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</si>
  <si>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</si>
  <si>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</si>
  <si>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</si>
  <si>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</si>
  <si>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</si>
  <si>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</si>
  <si>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</si>
  <si>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</si>
  <si>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</si>
  <si>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</si>
  <si>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</si>
  <si>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</si>
  <si>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</si>
  <si>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</si>
  <si>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</si>
  <si>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</si>
  <si>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</si>
  <si>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</si>
  <si>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</si>
  <si>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</si>
  <si>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</si>
  <si>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</si>
  <si>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</si>
  <si>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</si>
  <si>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</si>
  <si>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</si>
  <si>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</si>
  <si>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</si>
  <si>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</si>
  <si>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</si>
  <si>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</si>
  <si>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</si>
  <si>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</si>
  <si>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</si>
  <si>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</si>
  <si>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</si>
  <si>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</si>
  <si>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</si>
  <si>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</si>
  <si>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</si>
  <si>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</si>
  <si>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</si>
  <si>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</si>
  <si>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</si>
  <si>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</si>
  <si>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</si>
  <si>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</si>
  <si>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</si>
  <si>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</si>
  <si>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</si>
  <si>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</si>
  <si>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</si>
  <si>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</si>
  <si>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</si>
  <si>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</si>
  <si>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</si>
  <si>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</si>
  <si>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</si>
  <si>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</si>
  <si>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</si>
  <si>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</si>
  <si>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</si>
  <si>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</si>
  <si>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</si>
  <si>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</si>
  <si>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</si>
  <si>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</si>
  <si>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</si>
  <si>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</si>
  <si>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</si>
  <si>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</si>
  <si>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</si>
  <si>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</si>
  <si>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</si>
  <si>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</si>
  <si>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</si>
  <si>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</si>
  <si>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</si>
  <si>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</si>
  <si>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</si>
  <si>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</si>
  <si>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</si>
  <si>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</si>
  <si>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</si>
  <si>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</si>
  <si>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</si>
  <si>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</si>
  <si>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</si>
  <si>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</si>
  <si>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</si>
  <si>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</si>
  <si>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</si>
  <si>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</si>
  <si>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</si>
  <si>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</si>
  <si>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</si>
  <si>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</si>
  <si>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</si>
  <si>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</si>
  <si>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</si>
  <si>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</si>
  <si>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</si>
  <si>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</si>
  <si>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</si>
  <si>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</si>
  <si>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</si>
  <si>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</si>
  <si>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</si>
  <si>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</si>
  <si>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</si>
  <si>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</si>
  <si>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</si>
  <si>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</si>
  <si>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</si>
  <si>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</si>
  <si>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</si>
  <si>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</si>
  <si>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</si>
  <si>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</si>
  <si>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</si>
  <si>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</si>
  <si>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</si>
  <si>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</si>
  <si>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</si>
  <si>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</si>
  <si>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</si>
  <si>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</si>
  <si>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</si>
  <si>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</si>
  <si>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</si>
  <si>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</si>
  <si>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</si>
  <si>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</si>
  <si>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</si>
  <si>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</si>
  <si>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</si>
  <si>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</si>
  <si>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</si>
  <si>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</si>
  <si>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</si>
  <si>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</si>
  <si>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</si>
  <si>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</si>
  <si>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</si>
  <si>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</si>
  <si>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</si>
  <si>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</si>
  <si>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</si>
  <si>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</si>
  <si>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</si>
  <si>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</si>
  <si>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</si>
  <si>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</si>
  <si>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</si>
  <si>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</si>
  <si>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</si>
  <si>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</si>
  <si>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</si>
  <si>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</si>
  <si>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</si>
  <si>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</si>
  <si>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</si>
  <si>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</si>
  <si>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</si>
  <si>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</si>
  <si>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</si>
  <si>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</si>
  <si>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</si>
  <si>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</si>
  <si>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</si>
  <si>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</si>
  <si>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</si>
  <si>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</si>
  <si>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</si>
  <si>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</si>
  <si>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</si>
  <si>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</si>
  <si>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</si>
  <si>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</si>
  <si>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</si>
  <si>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</si>
  <si>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</si>
  <si>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</si>
  <si>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</si>
  <si>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</si>
  <si>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</si>
  <si>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</si>
  <si>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</si>
  <si>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</si>
  <si>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</si>
  <si>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</si>
  <si>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</si>
  <si>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</si>
  <si>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</si>
  <si>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</si>
  <si>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</si>
  <si>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</si>
  <si>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</si>
  <si>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</si>
  <si>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</si>
  <si>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</si>
  <si>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</si>
  <si>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</si>
  <si>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</si>
  <si>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</si>
  <si>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</si>
  <si>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</si>
  <si>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</si>
  <si>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</si>
  <si>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</si>
  <si>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</si>
  <si>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</si>
  <si>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</si>
  <si>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</si>
  <si>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</si>
  <si>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</si>
  <si>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</si>
  <si>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</si>
  <si>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</si>
  <si>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</si>
  <si>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</si>
  <si>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</si>
  <si>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</si>
  <si>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</si>
  <si>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</si>
  <si>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</si>
  <si>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</si>
  <si>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</si>
  <si>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</si>
  <si>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</si>
  <si>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</si>
  <si>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</si>
  <si>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</si>
  <si>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</si>
  <si>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</si>
  <si>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</si>
  <si>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</si>
  <si>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</si>
  <si>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</si>
  <si>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</si>
  <si>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</si>
  <si>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</si>
  <si>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</si>
  <si>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</si>
  <si>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</si>
  <si>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</si>
  <si>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</si>
  <si>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</si>
  <si>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</si>
  <si>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</si>
  <si>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</si>
  <si>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</si>
  <si>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</si>
  <si>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</si>
  <si>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</si>
  <si>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</si>
  <si>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</si>
  <si>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</si>
  <si>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</si>
  <si>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</si>
  <si>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</si>
  <si>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</si>
  <si>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</si>
  <si>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</si>
  <si>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</si>
  <si>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</si>
  <si>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</si>
  <si>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</si>
  <si>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</si>
  <si>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</si>
  <si>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</si>
  <si>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</si>
  <si>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</si>
  <si>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</si>
  <si>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</si>
  <si>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</si>
  <si>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</si>
  <si>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</si>
  <si>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</si>
  <si>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</si>
  <si>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</si>
  <si>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</si>
  <si>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</si>
  <si>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</si>
  <si>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</si>
  <si>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</si>
  <si>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</si>
  <si>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</si>
  <si>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</si>
  <si>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</si>
  <si>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</si>
  <si>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</si>
  <si>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</si>
  <si>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</si>
  <si>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</si>
  <si>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</si>
  <si>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</si>
  <si>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</si>
  <si>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</si>
  <si>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</si>
  <si>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</si>
  <si>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</si>
  <si>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</si>
  <si>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</si>
  <si>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</si>
  <si>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</si>
  <si>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</si>
  <si>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</si>
  <si>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</si>
  <si>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</si>
  <si>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</si>
  <si>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</si>
  <si>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</si>
  <si>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</si>
  <si>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</si>
  <si>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</si>
  <si>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</si>
  <si>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</si>
  <si>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</si>
  <si>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</si>
  <si>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</si>
  <si>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</si>
  <si>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</si>
  <si>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</si>
  <si>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</si>
  <si>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</si>
  <si>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</si>
  <si>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</si>
  <si>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</si>
  <si>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</si>
  <si>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</si>
  <si>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</si>
  <si>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</si>
  <si>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</si>
  <si>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</si>
  <si>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</si>
  <si>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</si>
  <si>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</si>
  <si>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</si>
  <si>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</si>
  <si>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</si>
  <si>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</si>
  <si>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</si>
  <si>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</si>
  <si>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</si>
  <si>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</si>
  <si>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</si>
  <si>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</si>
  <si>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</si>
  <si>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</si>
  <si>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</si>
  <si>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</si>
  <si>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</si>
  <si>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</si>
  <si>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</si>
  <si>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</si>
  <si>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</si>
  <si>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</si>
  <si>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</si>
  <si>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</si>
  <si>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</si>
  <si>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</si>
  <si>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</si>
  <si>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</si>
  <si>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</si>
  <si>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</si>
  <si>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</si>
  <si>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</si>
  <si>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</si>
  <si>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</si>
  <si>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</si>
  <si>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</si>
  <si>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</si>
  <si>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</si>
  <si>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</si>
  <si>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</si>
  <si>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</si>
  <si>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</si>
  <si>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</si>
  <si>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</si>
  <si>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</si>
  <si>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</si>
  <si>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</si>
  <si>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</si>
  <si>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</si>
  <si>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</si>
  <si>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</si>
  <si>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</si>
  <si>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</si>
  <si>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</si>
  <si>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</si>
  <si>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</si>
  <si>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</si>
  <si>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</si>
  <si>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</si>
  <si>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</si>
  <si>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</si>
  <si>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</si>
  <si>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</si>
  <si>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</si>
  <si>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</si>
  <si>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</si>
  <si>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</si>
  <si>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</si>
  <si>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</si>
  <si>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</si>
  <si>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</si>
  <si>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</si>
  <si>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</si>
  <si>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</si>
  <si>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</si>
  <si>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</si>
  <si>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</si>
  <si>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</si>
  <si>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</si>
  <si>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</si>
  <si>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</si>
  <si>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</si>
  <si>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</si>
  <si>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</si>
  <si>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</si>
  <si>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</si>
  <si>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</si>
  <si>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</si>
  <si>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</si>
  <si>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</si>
  <si>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</si>
  <si>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</si>
  <si>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</si>
  <si>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</si>
  <si>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</si>
  <si>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</si>
  <si>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</si>
  <si>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</si>
  <si>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</si>
  <si>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</si>
  <si>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</si>
  <si>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</si>
  <si>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</si>
  <si>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</si>
  <si>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</si>
  <si>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</si>
  <si>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</si>
  <si>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</si>
  <si>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</si>
  <si>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</si>
  <si>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</si>
  <si>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</si>
  <si>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</si>
  <si>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</si>
  <si>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</si>
  <si>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</si>
  <si>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</si>
  <si>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</si>
  <si>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</si>
  <si>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</si>
  <si>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</si>
  <si>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</si>
  <si>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</si>
  <si>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</si>
  <si>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</si>
  <si>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</si>
  <si>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</si>
  <si>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</si>
  <si>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</si>
  <si>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</si>
  <si>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</si>
  <si>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</si>
  <si>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</si>
  <si>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</si>
  <si>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</si>
  <si>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</si>
  <si>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</si>
  <si>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</si>
  <si>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</si>
  <si>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</si>
  <si>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</si>
  <si>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</si>
  <si>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</si>
  <si>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</si>
  <si>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</si>
  <si>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</si>
  <si>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</si>
  <si>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</si>
  <si>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</si>
  <si>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</si>
  <si>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</si>
  <si>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</si>
  <si>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</si>
  <si>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</si>
  <si>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</si>
  <si>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</si>
  <si>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</si>
  <si>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</si>
  <si>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</si>
  <si>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</si>
  <si>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</si>
  <si>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</si>
  <si>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</si>
  <si>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</si>
  <si>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</si>
  <si>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</si>
  <si>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</si>
  <si>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</si>
  <si>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</si>
  <si>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</si>
  <si>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</si>
  <si>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</si>
  <si>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</si>
  <si>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</si>
  <si>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</si>
  <si>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</si>
  <si>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</si>
  <si>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</si>
  <si>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</si>
  <si>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</si>
  <si>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</si>
  <si>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</si>
  <si>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</si>
  <si>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</si>
  <si>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</si>
  <si>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</si>
  <si>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</si>
  <si>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</si>
  <si>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</si>
  <si>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</si>
  <si>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</si>
  <si>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</si>
  <si>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</si>
  <si>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</si>
  <si>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</si>
  <si>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</si>
  <si>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</si>
  <si>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</si>
  <si>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</si>
  <si>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</si>
  <si>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</si>
  <si>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</si>
  <si>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</si>
  <si>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</si>
  <si>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</si>
  <si>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</si>
  <si>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</si>
  <si>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</si>
  <si>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</si>
  <si>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</si>
  <si>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</si>
  <si>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</si>
  <si>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</si>
  <si>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</si>
  <si>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</si>
  <si>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</si>
  <si>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</si>
  <si>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</si>
  <si>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</si>
  <si>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</si>
  <si>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</si>
  <si>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</si>
  <si>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</si>
  <si>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</si>
  <si>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</si>
  <si>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</si>
  <si>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</si>
  <si>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</si>
  <si>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</si>
  <si>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</si>
  <si>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</si>
  <si>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</si>
  <si>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</si>
  <si>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</si>
  <si>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</si>
  <si>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</si>
  <si>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</si>
  <si>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</si>
  <si>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</si>
  <si>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</si>
  <si>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</si>
  <si>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</si>
  <si>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</si>
  <si>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</si>
  <si>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</si>
  <si>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</si>
  <si>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</si>
  <si>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</si>
  <si>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</si>
  <si>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</si>
  <si>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</si>
  <si>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</si>
  <si>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</si>
  <si>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</si>
  <si>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</si>
  <si>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</si>
  <si>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</si>
  <si>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</si>
  <si>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</si>
  <si>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</si>
  <si>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</si>
  <si>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</si>
  <si>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</si>
  <si>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</si>
  <si>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</si>
  <si>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</si>
  <si>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</si>
  <si>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</si>
  <si>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</si>
  <si>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</si>
  <si>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</si>
  <si>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</si>
  <si>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</si>
  <si>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</si>
  <si>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</si>
  <si>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</si>
  <si>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</si>
  <si>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</si>
  <si>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</si>
  <si>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</si>
  <si>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</si>
  <si>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</si>
  <si>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</si>
  <si>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</si>
  <si>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</si>
  <si>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</si>
  <si>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</si>
  <si>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</si>
  <si>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</si>
  <si>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</si>
  <si>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</si>
  <si>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</si>
  <si>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</si>
  <si>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</si>
  <si>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</si>
  <si>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</si>
  <si>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</si>
  <si>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</si>
  <si>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</si>
  <si>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</si>
  <si>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</si>
  <si>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</si>
  <si>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</si>
  <si>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</si>
  <si>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</si>
  <si>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</si>
  <si>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</si>
  <si>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</si>
  <si>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</si>
  <si>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</si>
  <si>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</si>
  <si>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</si>
  <si>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</si>
  <si>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</si>
  <si>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</si>
  <si>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</si>
  <si>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</si>
  <si>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</si>
  <si>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</si>
  <si>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</si>
  <si>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</si>
  <si>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</si>
  <si>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</si>
  <si>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</si>
  <si>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</si>
  <si>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</si>
  <si>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</si>
  <si>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</si>
  <si>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</si>
  <si>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</si>
  <si>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</si>
  <si>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</si>
  <si>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</si>
  <si>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</si>
  <si>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</si>
  <si>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</si>
  <si>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</si>
  <si>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</si>
  <si>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</si>
  <si>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</si>
  <si>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</si>
  <si>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</si>
  <si>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</si>
  <si>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</si>
  <si>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</si>
  <si>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</si>
  <si>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</si>
  <si>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</si>
  <si>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</si>
  <si>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</si>
  <si>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</si>
  <si>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</si>
  <si>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</si>
  <si>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</si>
  <si>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</si>
  <si>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</si>
  <si>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</si>
  <si>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</si>
  <si>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</si>
  <si>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</si>
  <si>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</si>
  <si>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</si>
  <si>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</si>
  <si>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</si>
  <si>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</si>
  <si>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</si>
  <si>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</si>
  <si>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</si>
  <si>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</si>
  <si>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</si>
  <si>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</si>
  <si>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</si>
  <si>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</si>
  <si>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</si>
  <si>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</si>
  <si>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</si>
  <si>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</si>
  <si>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</si>
  <si>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</si>
  <si>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</si>
  <si>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</si>
  <si>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</si>
  <si>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</si>
  <si>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</si>
  <si>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</si>
  <si>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</si>
  <si>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</si>
  <si>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</si>
  <si>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</si>
  <si>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</si>
  <si>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</si>
  <si>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</si>
  <si>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</si>
  <si>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</si>
  <si>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</si>
  <si>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</si>
  <si>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</si>
  <si>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</si>
  <si>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</si>
  <si>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</si>
  <si>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</si>
  <si>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</si>
  <si>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</si>
  <si>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</si>
  <si>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</si>
  <si>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</si>
  <si>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</si>
  <si>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</si>
  <si>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</si>
  <si>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</si>
  <si>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</si>
  <si>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</si>
  <si>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</si>
  <si>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</si>
  <si>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</si>
  <si>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</si>
  <si>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</si>
  <si>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</si>
  <si>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</si>
  <si>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</si>
  <si>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</si>
  <si>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</si>
  <si>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</si>
  <si>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</si>
  <si>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</si>
  <si>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</si>
  <si>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</si>
  <si>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</si>
  <si>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</si>
  <si>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</si>
  <si>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</si>
  <si>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</si>
  <si>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</si>
  <si>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</si>
  <si>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</si>
  <si>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</si>
  <si>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</si>
  <si>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</si>
  <si>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</si>
  <si>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</si>
  <si>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</si>
  <si>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</si>
  <si>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</si>
  <si>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</si>
  <si>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</si>
  <si>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</si>
  <si>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</si>
  <si>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</si>
  <si>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</si>
  <si>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</si>
  <si>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</si>
  <si>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</si>
  <si>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</si>
  <si>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</si>
  <si>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</si>
  <si>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</si>
  <si>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</si>
  <si>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</si>
  <si>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</si>
  <si>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</si>
  <si>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</si>
  <si>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</si>
  <si>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</si>
  <si>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</si>
  <si>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</si>
  <si>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</si>
  <si>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</si>
  <si>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</si>
  <si>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</si>
  <si>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</si>
  <si>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</si>
  <si>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</si>
  <si>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</si>
  <si>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</si>
  <si>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</si>
  <si>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</si>
  <si>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</si>
  <si>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</si>
  <si>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</si>
  <si>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</si>
  <si>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</si>
  <si>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</si>
  <si>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</si>
  <si>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</si>
  <si>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</si>
  <si>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</si>
  <si>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</si>
  <si>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</si>
  <si>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</si>
  <si>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</si>
  <si>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</si>
  <si>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</si>
  <si>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</si>
  <si>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</si>
  <si>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</si>
  <si>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</si>
  <si>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</si>
  <si>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</si>
  <si>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</si>
  <si>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</si>
  <si>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</si>
  <si>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</si>
  <si>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</si>
  <si>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</si>
  <si>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</si>
  <si>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</si>
  <si>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</si>
  <si>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</si>
  <si>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</si>
  <si>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</si>
  <si>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</si>
  <si>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</si>
  <si>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</si>
  <si>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</si>
  <si>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</si>
  <si>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</si>
  <si>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</si>
  <si>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</si>
  <si>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</si>
  <si>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</si>
  <si>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</si>
  <si>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</si>
  <si>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</si>
  <si>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</si>
  <si>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</si>
  <si>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</si>
  <si>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</si>
  <si>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</si>
  <si>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</si>
  <si>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</si>
  <si>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</si>
  <si>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</si>
  <si>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</si>
  <si>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</si>
  <si>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</si>
  <si>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</si>
  <si>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</si>
  <si>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</si>
  <si>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</si>
  <si>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</si>
  <si>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</si>
  <si>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</si>
  <si>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</si>
  <si>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</si>
  <si>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</si>
  <si>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</si>
  <si>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</si>
  <si>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</si>
  <si>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</si>
  <si>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</si>
  <si>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</si>
  <si>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</si>
  <si>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</si>
  <si>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</si>
  <si>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</si>
  <si>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</si>
  <si>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</si>
  <si>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</si>
  <si>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</si>
  <si>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</si>
  <si>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</si>
  <si>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</si>
  <si>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</si>
  <si>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</si>
  <si>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</si>
  <si>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</si>
  <si>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</si>
  <si>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</si>
  <si>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</si>
  <si>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</si>
  <si>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</si>
  <si>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</si>
  <si>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</si>
  <si>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</si>
  <si>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</si>
  <si>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</si>
  <si>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</si>
  <si>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</si>
  <si>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</si>
  <si>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</si>
  <si>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</si>
  <si>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</si>
  <si>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</si>
  <si>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</si>
  <si>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</si>
  <si>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</si>
  <si>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</si>
  <si>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</si>
  <si>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</si>
  <si>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</si>
  <si>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</si>
  <si>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</si>
  <si>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</si>
  <si>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</si>
  <si>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</si>
  <si>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</si>
  <si>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</si>
  <si>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</si>
  <si>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</si>
  <si>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</si>
  <si>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</si>
  <si>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</si>
  <si>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</si>
  <si>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</si>
  <si>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</si>
  <si>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</si>
  <si>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</si>
  <si>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</si>
  <si>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</si>
  <si>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</si>
  <si>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</si>
  <si>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</si>
  <si>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</si>
  <si>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</si>
  <si>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</si>
  <si>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</si>
  <si>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</si>
  <si>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</si>
  <si>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</si>
  <si>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</si>
  <si>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</si>
  <si>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</si>
  <si>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</si>
  <si>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</si>
  <si>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</si>
  <si>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</si>
  <si>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</si>
  <si>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</si>
  <si>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</si>
  <si>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</si>
  <si>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</si>
  <si>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</si>
  <si>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</si>
  <si>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</si>
  <si>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</si>
  <si>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</si>
  <si>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</si>
  <si>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</si>
  <si>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</si>
  <si>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</si>
  <si>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</si>
  <si>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</si>
  <si>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</si>
  <si>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</si>
  <si>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</si>
  <si>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</si>
  <si>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</si>
  <si>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</si>
  <si>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</si>
  <si>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</si>
  <si>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</si>
  <si>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</si>
  <si>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</si>
  <si>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</si>
  <si>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</si>
  <si>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</si>
  <si>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</si>
  <si>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</si>
  <si>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</si>
  <si>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</si>
  <si>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</si>
  <si>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</si>
  <si>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</si>
  <si>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</si>
  <si>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</si>
  <si>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</si>
  <si>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</si>
  <si>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</si>
  <si>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</si>
  <si>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</si>
  <si>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</si>
  <si>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</si>
  <si>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</si>
  <si>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</si>
  <si>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</si>
  <si>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</si>
  <si>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</si>
  <si>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</si>
  <si>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</si>
  <si>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</si>
  <si>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</si>
  <si>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</si>
  <si>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</si>
  <si>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</si>
  <si>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</si>
  <si>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</si>
  <si>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</si>
  <si>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</si>
  <si>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</si>
  <si>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</si>
  <si>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</si>
  <si>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</si>
  <si>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</si>
  <si>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</si>
  <si>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</si>
  <si>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</si>
  <si>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</si>
  <si>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</si>
  <si>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</si>
  <si>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</si>
  <si>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</si>
  <si>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</si>
  <si>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</si>
  <si>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</si>
  <si>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</si>
  <si>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</si>
  <si>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</si>
  <si>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</si>
  <si>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</si>
  <si>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</si>
  <si>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</si>
  <si>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</si>
  <si>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</si>
  <si>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</si>
  <si>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</si>
  <si>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</si>
  <si>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</si>
  <si>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</si>
  <si>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</si>
  <si>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</si>
  <si>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</si>
  <si>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</si>
  <si>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</si>
  <si>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</si>
  <si>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</si>
  <si>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</si>
  <si>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</si>
  <si>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</si>
  <si>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</si>
  <si>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</si>
  <si>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</si>
  <si>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</si>
  <si>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</si>
  <si>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</si>
  <si>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</si>
  <si>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</si>
  <si>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</si>
  <si>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</si>
  <si>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</si>
  <si>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</si>
  <si>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</si>
  <si>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</si>
  <si>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</si>
  <si>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</si>
  <si>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</si>
  <si>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</si>
  <si>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</si>
  <si>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</si>
  <si>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</si>
  <si>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</si>
  <si>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</si>
  <si>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</si>
  <si>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</si>
  <si>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</si>
  <si>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</si>
  <si>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</si>
  <si>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</si>
  <si>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</si>
  <si>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</si>
  <si>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</si>
  <si>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</si>
  <si>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</si>
  <si>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</si>
  <si>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</si>
  <si>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</si>
  <si>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</si>
  <si>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</si>
  <si>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</si>
  <si>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</si>
  <si>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</si>
  <si>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</si>
  <si>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</si>
  <si>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</si>
  <si>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</si>
  <si>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</si>
  <si>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</si>
  <si>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</si>
  <si>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</si>
  <si>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</si>
  <si>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</si>
  <si>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</si>
  <si>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</si>
  <si>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</si>
  <si>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</si>
  <si>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</si>
  <si>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</si>
  <si>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</si>
  <si>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</si>
  <si>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</si>
  <si>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</si>
  <si>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</si>
  <si>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</si>
  <si>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</si>
  <si>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</si>
  <si>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</si>
  <si>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</si>
  <si>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</si>
  <si>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</si>
  <si>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</si>
  <si>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</si>
  <si>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</si>
  <si>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</si>
  <si>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</si>
  <si>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</si>
  <si>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</si>
  <si>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</si>
  <si>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</si>
  <si>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</si>
  <si>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</si>
  <si>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</si>
  <si>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</si>
  <si>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</si>
  <si>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</si>
  <si>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</si>
  <si>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</si>
  <si>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</si>
  <si>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</si>
  <si>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</si>
  <si>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</si>
  <si>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</si>
  <si>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</si>
  <si>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</si>
  <si>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</si>
  <si>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</si>
  <si>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</si>
  <si>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</si>
  <si>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</si>
  <si>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</si>
  <si>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</si>
  <si>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</si>
  <si>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</si>
  <si>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</si>
  <si>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</si>
  <si>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</si>
  <si>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</si>
  <si>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</si>
  <si>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</si>
  <si>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</si>
  <si>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</si>
  <si>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</si>
  <si>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</si>
  <si>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</si>
  <si>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</si>
  <si>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</si>
  <si>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</si>
  <si>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</si>
  <si>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</si>
  <si>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</si>
  <si>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</si>
  <si>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</si>
  <si>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</si>
  <si>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</si>
  <si>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</si>
  <si>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</si>
  <si>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</si>
  <si>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</si>
  <si>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</si>
  <si>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</si>
  <si>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</si>
  <si>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</si>
  <si>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</si>
  <si>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</si>
  <si>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</si>
  <si>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</si>
  <si>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</si>
  <si>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</si>
  <si>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</si>
  <si>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</si>
  <si>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</si>
  <si>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</si>
  <si>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</si>
  <si>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</si>
  <si>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</si>
  <si>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</si>
  <si>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</si>
  <si>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</si>
  <si>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</si>
  <si>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</si>
  <si>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</si>
  <si>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</si>
  <si>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</si>
  <si>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</si>
  <si>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</si>
  <si>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</si>
  <si>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</si>
  <si>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</si>
  <si>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</si>
  <si>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</si>
  <si>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</si>
  <si>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</si>
  <si>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</si>
  <si>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</si>
  <si>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</si>
  <si>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</si>
  <si>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</si>
  <si>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</si>
  <si>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</si>
  <si>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</si>
  <si>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</si>
  <si>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</si>
  <si>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</si>
  <si>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</si>
  <si>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</si>
  <si>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</si>
  <si>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</si>
  <si>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</si>
  <si>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</si>
  <si>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</si>
  <si>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</si>
  <si>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</si>
  <si>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</si>
  <si>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</si>
  <si>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</si>
  <si>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</si>
  <si>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</si>
  <si>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</si>
  <si>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</si>
  <si>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</si>
  <si>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</si>
  <si>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</si>
  <si>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</si>
  <si>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</si>
  <si>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</si>
  <si>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</si>
  <si>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</si>
  <si>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</si>
  <si>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</si>
  <si>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</si>
  <si>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</si>
  <si>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</si>
  <si>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</si>
  <si>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</si>
  <si>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</si>
  <si>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</si>
  <si>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</si>
  <si>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</si>
  <si>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</si>
  <si>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</si>
  <si>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</si>
  <si>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</si>
  <si>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</si>
  <si>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</si>
  <si>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</si>
  <si>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</si>
  <si>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</si>
  <si>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</si>
  <si>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</si>
  <si>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</si>
  <si>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</si>
  <si>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</si>
  <si>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</si>
  <si>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</si>
  <si>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</si>
  <si>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</si>
  <si>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</si>
  <si>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</si>
  <si>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</si>
  <si>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</si>
  <si>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</si>
  <si>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</si>
  <si>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</si>
  <si>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</si>
  <si>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</si>
  <si>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</si>
  <si>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</si>
  <si>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</si>
  <si>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</si>
  <si>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</si>
  <si>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</si>
  <si>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</si>
  <si>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</si>
  <si>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</si>
  <si>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</si>
  <si>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</si>
  <si>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</si>
  <si>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</si>
  <si>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</si>
  <si>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</si>
  <si>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</si>
  <si>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</si>
  <si>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</si>
  <si>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</si>
  <si>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</si>
  <si>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</si>
  <si>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</si>
  <si>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</si>
  <si>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</si>
  <si>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</si>
  <si>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</si>
  <si>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</si>
  <si>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</si>
  <si>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</si>
  <si>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</si>
  <si>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</si>
  <si>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</si>
  <si>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</si>
  <si>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</si>
  <si>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</si>
  <si>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</si>
  <si>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</si>
  <si>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</si>
  <si>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</si>
  <si>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</si>
  <si>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</si>
  <si>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</si>
  <si>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</si>
  <si>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</si>
  <si>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</si>
  <si>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</si>
  <si>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</si>
  <si>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</si>
  <si>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</si>
  <si>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</si>
  <si>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</si>
  <si>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</si>
  <si>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</si>
  <si>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</si>
  <si>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</si>
  <si>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</si>
  <si>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</si>
  <si>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</si>
  <si>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</si>
  <si>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</si>
  <si>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</si>
  <si>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</si>
  <si>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</si>
  <si>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</si>
  <si>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</si>
  <si>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</si>
  <si>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</si>
  <si>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</si>
  <si>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</si>
  <si>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</si>
  <si>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</si>
  <si>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</si>
  <si>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</si>
  <si>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</si>
  <si>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</si>
  <si>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</si>
  <si>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</si>
  <si>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</si>
  <si>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</si>
  <si>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</si>
  <si>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</si>
  <si>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</si>
  <si>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</si>
  <si>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</si>
  <si>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</si>
  <si>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</si>
  <si>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</si>
  <si>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</si>
  <si>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</si>
  <si>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</si>
  <si>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</si>
  <si>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</si>
  <si>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</si>
  <si>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</si>
  <si>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</si>
  <si>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</si>
  <si>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</si>
  <si>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</si>
  <si>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</si>
  <si>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</si>
  <si>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</si>
  <si>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</si>
  <si>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</si>
  <si>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</si>
  <si>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</si>
  <si>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</si>
  <si>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</si>
  <si>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</si>
  <si>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</si>
  <si>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</si>
  <si>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</si>
  <si>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</si>
  <si>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</si>
  <si>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</si>
  <si>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</si>
  <si>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</si>
  <si>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</si>
  <si>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</si>
  <si>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</si>
  <si>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</si>
  <si>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</si>
  <si>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</si>
  <si>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</si>
  <si>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</si>
  <si>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</si>
  <si>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</si>
  <si>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</si>
  <si>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</si>
  <si>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</si>
  <si>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</si>
  <si>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</si>
  <si>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</si>
  <si>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</si>
  <si>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</si>
  <si>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</si>
  <si>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</si>
  <si>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</si>
  <si>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</si>
  <si>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</si>
  <si>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</si>
  <si>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</si>
  <si>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</si>
  <si>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</si>
  <si>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</si>
  <si>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</si>
  <si>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</si>
  <si>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</si>
  <si>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</si>
  <si>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</si>
  <si>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</si>
  <si>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</si>
  <si>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</si>
  <si>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</si>
  <si>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</si>
  <si>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</si>
  <si>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</si>
  <si>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</si>
  <si>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</si>
  <si>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</si>
  <si>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</si>
  <si>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</si>
  <si>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</si>
  <si>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</si>
  <si>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</si>
  <si>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</si>
  <si>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</si>
  <si>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</si>
  <si>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</si>
  <si>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</si>
  <si>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</si>
  <si>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</si>
  <si>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</si>
  <si>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</si>
  <si>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</si>
  <si>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</si>
  <si>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</si>
  <si>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</si>
  <si>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</si>
  <si>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</si>
  <si>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</si>
  <si>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</si>
  <si>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</si>
  <si>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</si>
  <si>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</si>
  <si>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</si>
  <si>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</si>
  <si>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</si>
  <si>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</si>
  <si>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</si>
  <si>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</si>
  <si>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</si>
  <si>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</si>
  <si>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</si>
  <si>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</si>
  <si>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</si>
  <si>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</si>
  <si>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</si>
  <si>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</si>
  <si>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</si>
  <si>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</si>
  <si>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</si>
  <si>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</si>
  <si>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</si>
  <si>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</si>
  <si>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</si>
  <si>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</si>
  <si>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</si>
  <si>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</si>
  <si>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</si>
  <si>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</si>
  <si>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</si>
  <si>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</si>
  <si>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</si>
  <si>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</si>
  <si>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</si>
  <si>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</si>
  <si>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</si>
  <si>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</si>
  <si>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</si>
  <si>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</si>
  <si>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</si>
  <si>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</si>
  <si>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</si>
  <si>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</si>
  <si>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</si>
  <si>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</si>
  <si>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</si>
  <si>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</si>
  <si>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</si>
  <si>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</si>
  <si>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</si>
  <si>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</si>
  <si>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</si>
  <si>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</si>
  <si>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</si>
  <si>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</si>
  <si>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</si>
  <si>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</si>
  <si>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</si>
  <si>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</si>
  <si>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</si>
  <si>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</si>
  <si>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</si>
  <si>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</si>
  <si>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</si>
  <si>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</si>
  <si>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</si>
  <si>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</si>
  <si>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</si>
  <si>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</si>
  <si>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</si>
  <si>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</si>
  <si>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</si>
  <si>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</si>
  <si>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</si>
  <si>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</si>
  <si>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</si>
  <si>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</si>
  <si>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</si>
  <si>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</si>
  <si>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</si>
  <si>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</si>
  <si>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</si>
  <si>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</si>
  <si>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</si>
  <si>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</si>
  <si>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</si>
  <si>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</si>
  <si>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</si>
  <si>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</si>
  <si>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</si>
  <si>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</si>
  <si>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</si>
  <si>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</si>
  <si>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</si>
  <si>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</si>
  <si>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</si>
  <si>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</si>
  <si>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</si>
  <si>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</si>
  <si>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</si>
  <si>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</si>
  <si>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</si>
  <si>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</si>
  <si>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</si>
  <si>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</si>
  <si>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</si>
  <si>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</si>
  <si>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</si>
  <si>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</si>
  <si>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</si>
  <si>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</si>
  <si>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</si>
  <si>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</si>
  <si>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</si>
  <si>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</si>
  <si>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</si>
  <si>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</si>
  <si>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</si>
  <si>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</si>
  <si>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</si>
  <si>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</si>
  <si>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</si>
  <si>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</si>
  <si>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</si>
  <si>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</si>
  <si>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</si>
  <si>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</si>
  <si>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</si>
  <si>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</si>
  <si>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</si>
  <si>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</si>
  <si>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</si>
  <si>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</si>
  <si>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</si>
  <si>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</si>
  <si>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</si>
  <si>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</si>
  <si>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</si>
  <si>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</si>
  <si>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</si>
  <si>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</si>
  <si>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</si>
  <si>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</si>
  <si>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</si>
  <si>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</si>
  <si>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</si>
  <si>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</si>
  <si>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</si>
  <si>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</si>
  <si>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</si>
  <si>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</si>
  <si>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</si>
  <si>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</si>
  <si>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</si>
  <si>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</si>
  <si>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</si>
  <si>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</si>
  <si>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</si>
  <si>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</si>
  <si>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</si>
  <si>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</si>
  <si>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</si>
  <si>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</si>
  <si>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</si>
  <si>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</si>
  <si>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</si>
  <si>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</si>
  <si>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</si>
  <si>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</si>
  <si>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</si>
  <si>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</si>
  <si>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</si>
  <si>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</si>
  <si>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</si>
  <si>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</si>
  <si>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</si>
  <si>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</si>
  <si>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</si>
  <si>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</si>
  <si>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</si>
  <si>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</si>
  <si>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</si>
  <si>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</si>
  <si>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</si>
  <si>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</si>
  <si>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</si>
  <si>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</si>
  <si>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</si>
  <si>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</si>
  <si>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</si>
  <si>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</si>
  <si>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</si>
  <si>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</si>
  <si>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</si>
  <si>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</si>
  <si>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</si>
  <si>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</si>
  <si>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</si>
  <si>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</si>
  <si>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</si>
  <si>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</si>
  <si>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</si>
  <si>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</si>
  <si>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</si>
  <si>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</si>
  <si>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</si>
  <si>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</si>
  <si>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</si>
  <si>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</si>
  <si>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</si>
  <si>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</si>
  <si>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</si>
  <si>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</si>
  <si>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</si>
  <si>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</si>
  <si>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</si>
  <si>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</si>
  <si>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</si>
  <si>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</si>
  <si>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</si>
  <si>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</si>
  <si>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</si>
  <si>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</si>
  <si>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</si>
  <si>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</si>
  <si>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</si>
  <si>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</si>
  <si>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</si>
  <si>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</si>
  <si>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</si>
  <si>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</si>
  <si>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</si>
  <si>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</si>
  <si>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</si>
  <si>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</si>
  <si>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</si>
  <si>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</si>
  <si>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</si>
  <si>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</si>
  <si>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</si>
  <si>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</si>
  <si>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</si>
  <si>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</si>
  <si>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</si>
  <si>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</si>
  <si>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</si>
  <si>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</si>
  <si>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</si>
  <si>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</si>
  <si>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</si>
  <si>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</si>
  <si>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</si>
  <si>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</si>
  <si>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</si>
  <si>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</si>
  <si>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</si>
  <si>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</si>
  <si>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</si>
  <si>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</si>
  <si>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</si>
  <si>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</si>
  <si>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</si>
  <si>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</si>
  <si>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</si>
  <si>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</si>
  <si>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</si>
  <si>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</si>
  <si>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</si>
  <si>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</si>
  <si>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</si>
  <si>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</si>
  <si>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</si>
  <si>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</si>
  <si>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</si>
  <si>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</si>
  <si>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</si>
  <si>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</si>
  <si>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</si>
  <si>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</si>
  <si>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</si>
  <si>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</si>
  <si>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</si>
  <si>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</si>
  <si>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</si>
  <si>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</si>
  <si>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</si>
  <si>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</si>
  <si>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</si>
  <si>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</si>
  <si>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</si>
  <si>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</si>
  <si>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</si>
  <si>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</si>
  <si>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</si>
  <si>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</si>
  <si>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</si>
  <si>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</si>
  <si>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</si>
  <si>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</si>
  <si>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</si>
  <si>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</si>
  <si>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</si>
  <si>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</si>
  <si>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</si>
  <si>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</si>
  <si>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</si>
  <si>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</si>
  <si>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</si>
  <si>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</si>
  <si>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</si>
  <si>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</si>
  <si>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</si>
  <si>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</si>
  <si>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</si>
  <si>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</si>
  <si>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</si>
  <si>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</si>
  <si>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</si>
  <si>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</si>
  <si>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</si>
  <si>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</si>
  <si>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</si>
  <si>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</si>
  <si>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</si>
  <si>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</si>
  <si>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</si>
  <si>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</si>
  <si>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</si>
  <si>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</si>
  <si>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</si>
  <si>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</si>
  <si>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</si>
  <si>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</si>
  <si>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</si>
  <si>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</si>
  <si>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</si>
  <si>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</si>
  <si>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</si>
  <si>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</si>
  <si>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</si>
  <si>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</si>
  <si>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</si>
  <si>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</si>
  <si>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</si>
  <si>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</si>
  <si>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</si>
  <si>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</si>
  <si>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</si>
  <si>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</si>
  <si>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</si>
  <si>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</si>
  <si>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</si>
  <si>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</si>
  <si>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</si>
  <si>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</si>
  <si>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</si>
  <si>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</si>
  <si>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</si>
  <si>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</si>
  <si>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</si>
  <si>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</si>
  <si>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</si>
  <si>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</si>
  <si>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</si>
  <si>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</si>
  <si>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</si>
  <si>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</si>
  <si>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</si>
  <si>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</si>
  <si>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</si>
  <si>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</si>
  <si>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</si>
  <si>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</si>
  <si>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</si>
  <si>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</si>
  <si>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</si>
  <si>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</si>
  <si>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</si>
  <si>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</si>
  <si>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</si>
  <si>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</si>
  <si>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</si>
  <si>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</si>
  <si>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</si>
  <si>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</si>
  <si>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</si>
  <si>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</si>
  <si>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</si>
  <si>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</si>
  <si>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</si>
  <si>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</si>
  <si>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</si>
  <si>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</si>
  <si>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</si>
  <si>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</si>
  <si>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</si>
  <si>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</si>
  <si>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</si>
  <si>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</si>
  <si>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</si>
  <si>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</si>
  <si>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</si>
  <si>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</si>
  <si>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</si>
  <si>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</si>
  <si>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</si>
  <si>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</si>
  <si>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</si>
  <si>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</si>
  <si>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</si>
  <si>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</si>
  <si>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</si>
  <si>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</si>
  <si>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</si>
  <si>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</si>
  <si>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</si>
  <si>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</si>
  <si>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</si>
  <si>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</si>
  <si>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</si>
  <si>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</si>
  <si>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</si>
  <si>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</si>
  <si>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</si>
  <si>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</si>
  <si>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</si>
  <si>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</si>
  <si>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</si>
  <si>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</si>
  <si>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</si>
  <si>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</si>
  <si>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</si>
  <si>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</si>
  <si>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</si>
  <si>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</si>
  <si>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</si>
  <si>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</si>
  <si>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</si>
  <si>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</si>
  <si>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</si>
  <si>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</si>
  <si>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</si>
  <si>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</si>
  <si>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</si>
  <si>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</si>
  <si>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</si>
  <si>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</si>
  <si>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</si>
  <si>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</si>
  <si>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</si>
  <si>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</si>
  <si>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</si>
  <si>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</si>
  <si>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</si>
  <si>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</si>
  <si>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</si>
  <si>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</si>
  <si>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</si>
  <si>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</si>
  <si>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</si>
  <si>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</si>
  <si>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</si>
  <si>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</si>
  <si>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</si>
  <si>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</si>
  <si>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</si>
  <si>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</si>
  <si>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</si>
  <si>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</si>
  <si>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</si>
  <si>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</si>
  <si>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</si>
  <si>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</si>
  <si>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</si>
  <si>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</si>
  <si>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</si>
  <si>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</si>
  <si>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</si>
  <si>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</si>
  <si>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</si>
  <si>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</si>
  <si>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</si>
  <si>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</si>
  <si>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</si>
  <si>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</si>
  <si>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</si>
  <si>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</si>
  <si>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</si>
  <si>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</si>
  <si>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</si>
  <si>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</si>
  <si>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</si>
  <si>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</si>
  <si>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</si>
  <si>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</si>
  <si>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</si>
  <si>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</si>
  <si>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</si>
  <si>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</si>
  <si>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</si>
  <si>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</si>
  <si>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</si>
  <si>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</si>
  <si>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</si>
  <si>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</si>
  <si>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</si>
  <si>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</si>
  <si>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</si>
  <si>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</si>
  <si>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</si>
  <si>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</si>
  <si>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</si>
  <si>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</si>
  <si>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</si>
  <si>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</si>
  <si>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</si>
  <si>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</si>
  <si>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</si>
  <si>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</si>
  <si>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</si>
  <si>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</si>
  <si>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</si>
  <si>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</si>
  <si>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</si>
  <si>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</si>
  <si>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</si>
  <si>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</si>
  <si>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</si>
  <si>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</si>
  <si>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</si>
  <si>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</si>
  <si>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</si>
  <si>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</si>
  <si>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</si>
  <si>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</si>
  <si>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</si>
  <si>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</si>
  <si>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</si>
  <si>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</si>
  <si>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</si>
  <si>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</si>
  <si>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</si>
  <si>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</si>
  <si>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</si>
  <si>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</si>
  <si>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</si>
  <si>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</si>
  <si>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</si>
  <si>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</si>
  <si>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</si>
  <si>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</si>
  <si>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</si>
  <si>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</si>
  <si>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</si>
  <si>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</si>
  <si>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</si>
  <si>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</si>
  <si>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</si>
  <si>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</si>
  <si>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</si>
  <si>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</si>
  <si>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</si>
  <si>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</si>
  <si>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</si>
  <si>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</si>
  <si>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</si>
  <si>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</si>
  <si>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</si>
  <si>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</si>
  <si>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</si>
  <si>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</si>
  <si>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</si>
  <si>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</si>
  <si>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</si>
  <si>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</si>
  <si>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</si>
  <si>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</si>
  <si>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</si>
  <si>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</si>
  <si>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</si>
  <si>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</si>
  <si>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</si>
  <si>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</si>
  <si>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</si>
  <si>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</si>
  <si>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</si>
  <si>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</si>
  <si>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</si>
  <si>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</si>
  <si>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</si>
  <si>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</si>
  <si>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</si>
  <si>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</si>
  <si>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</si>
  <si>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</si>
  <si>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</si>
  <si>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</si>
  <si>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</si>
  <si>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</si>
  <si>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</si>
  <si>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</si>
  <si>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</si>
  <si>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</si>
  <si>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</si>
  <si>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</si>
  <si>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</si>
  <si>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</si>
  <si>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</si>
  <si>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</si>
  <si>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</si>
  <si>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</si>
  <si>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</si>
  <si>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</si>
  <si>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</si>
  <si>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</si>
  <si>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</si>
  <si>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</si>
  <si>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</si>
  <si>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</si>
  <si>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</si>
  <si>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</si>
  <si>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</si>
  <si>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</si>
  <si>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</si>
  <si>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</si>
  <si>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</si>
  <si>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</si>
  <si>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</si>
  <si>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</si>
  <si>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</si>
  <si>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</si>
  <si>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</si>
  <si>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</si>
  <si>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</si>
  <si>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</si>
  <si>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</si>
  <si>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</si>
  <si>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</si>
  <si>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</si>
  <si>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</si>
  <si>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</si>
  <si>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</si>
  <si>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</si>
  <si>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</si>
  <si>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</si>
  <si>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</si>
  <si>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</si>
  <si>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</si>
  <si>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</si>
  <si>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</si>
  <si>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</si>
  <si>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</si>
  <si>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</si>
  <si>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</si>
  <si>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</si>
  <si>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</si>
  <si>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</si>
  <si>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</si>
  <si>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</si>
  <si>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</si>
  <si>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</si>
  <si>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</si>
  <si>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</si>
  <si>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</si>
  <si>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</si>
  <si>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</si>
  <si>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</si>
  <si>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</si>
  <si>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</si>
  <si>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</si>
  <si>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</si>
  <si>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</si>
  <si>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</si>
  <si>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</si>
  <si>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</si>
  <si>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</si>
  <si>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</si>
  <si>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</si>
  <si>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</si>
  <si>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</si>
  <si>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</si>
  <si>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</si>
  <si>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</si>
  <si>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</si>
  <si>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</si>
  <si>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</si>
  <si>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</si>
  <si>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</si>
  <si>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</si>
  <si>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</si>
  <si>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</si>
  <si>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</si>
  <si>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</si>
  <si>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</si>
  <si>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</si>
  <si>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</si>
  <si>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</si>
  <si>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</si>
  <si>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</si>
  <si>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</si>
  <si>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</si>
  <si>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</si>
  <si>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</si>
  <si>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</si>
  <si>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</si>
  <si>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</si>
  <si>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</si>
  <si>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</si>
  <si>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</si>
  <si>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</si>
  <si>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</si>
  <si>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</si>
  <si>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</si>
  <si>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</si>
  <si>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</si>
  <si>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</si>
  <si>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</si>
  <si>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</si>
  <si>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</si>
  <si>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</si>
  <si>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</si>
  <si>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</si>
  <si>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</si>
  <si>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</si>
  <si>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</si>
  <si>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</si>
  <si>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</si>
  <si>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</si>
  <si>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</si>
  <si>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</si>
  <si>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</si>
  <si>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</si>
  <si>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</si>
  <si>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</si>
  <si>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</si>
  <si>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</si>
  <si>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</si>
  <si>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</si>
  <si>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</si>
  <si>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</si>
  <si>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</si>
  <si>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</si>
  <si>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</si>
  <si>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</si>
  <si>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</si>
  <si>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</si>
  <si>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</si>
  <si>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</si>
  <si>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</si>
  <si>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</si>
  <si>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</si>
  <si>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</si>
  <si>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</si>
  <si>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</si>
  <si>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</si>
  <si>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</si>
  <si>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</si>
  <si>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</si>
  <si>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</si>
  <si>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</si>
  <si>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</si>
  <si>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</si>
  <si>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</si>
  <si>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</si>
  <si>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</si>
  <si>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</si>
  <si>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</si>
  <si>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</si>
  <si>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</si>
  <si>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</si>
  <si>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</si>
  <si>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</si>
  <si>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</si>
  <si>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</si>
  <si>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</si>
  <si>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</si>
  <si>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</si>
  <si>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</si>
  <si>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</si>
  <si>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</si>
  <si>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</si>
  <si>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</si>
  <si>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</si>
  <si>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</si>
  <si>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</si>
  <si>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</si>
  <si>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</si>
  <si>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</si>
  <si>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</si>
  <si>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</si>
  <si>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</si>
  <si>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</si>
  <si>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</si>
  <si>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</si>
  <si>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</si>
  <si>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</si>
  <si>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</si>
  <si>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</si>
  <si>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</si>
  <si>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</si>
  <si>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</si>
  <si>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</si>
  <si>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</si>
  <si>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</si>
  <si>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</si>
  <si>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</si>
  <si>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</si>
  <si>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</si>
  <si>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</si>
  <si>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</si>
  <si>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</si>
  <si>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</si>
  <si>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</si>
  <si>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</si>
  <si>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</si>
  <si>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</si>
  <si>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</si>
  <si>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</si>
  <si>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</si>
  <si>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</si>
  <si>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</si>
  <si>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</si>
  <si>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</si>
  <si>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</si>
  <si>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</si>
  <si>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</si>
  <si>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</si>
  <si>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</si>
  <si>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</si>
  <si>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</si>
  <si>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</si>
  <si>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</si>
  <si>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</si>
  <si>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</si>
  <si>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</si>
  <si>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</si>
  <si>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</si>
  <si>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</si>
  <si>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</si>
  <si>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</si>
  <si>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</si>
  <si>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</si>
  <si>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</si>
  <si>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</si>
  <si>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</si>
  <si>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</si>
  <si>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</si>
  <si>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</si>
  <si>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</si>
  <si>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</si>
  <si>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</si>
  <si>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</si>
  <si>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</si>
  <si>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</si>
  <si>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</si>
  <si>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</si>
  <si>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</si>
  <si>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</si>
  <si>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</si>
  <si>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</si>
  <si>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</si>
  <si>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</si>
  <si>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</si>
  <si>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</si>
  <si>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</si>
  <si>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</si>
  <si>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</si>
  <si>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</si>
  <si>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</si>
  <si>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</si>
  <si>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</si>
  <si>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</si>
  <si>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</si>
  <si>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</si>
  <si>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</si>
  <si>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</si>
  <si>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</si>
  <si>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</si>
  <si>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</si>
  <si>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</si>
  <si>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</si>
  <si>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</si>
  <si>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</si>
  <si>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</si>
  <si>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</si>
  <si>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</si>
  <si>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</si>
  <si>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</si>
  <si>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</si>
  <si>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</si>
  <si>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</si>
  <si>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</si>
  <si>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</si>
  <si>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</si>
  <si>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</si>
  <si>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</si>
  <si>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</si>
  <si>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</si>
  <si>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</si>
  <si>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</si>
  <si>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</si>
  <si>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</si>
  <si>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</si>
  <si>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</si>
  <si>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</si>
  <si>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</si>
  <si>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</si>
  <si>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</si>
  <si>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</si>
  <si>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</si>
  <si>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</si>
  <si>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</si>
  <si>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</si>
  <si>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</si>
  <si>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</si>
  <si>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</si>
  <si>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</si>
  <si>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</si>
  <si>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</si>
  <si>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</si>
  <si>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</si>
  <si>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</si>
  <si>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</si>
  <si>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</si>
  <si>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</si>
  <si>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</si>
  <si>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</si>
  <si>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</si>
  <si>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</si>
  <si>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</si>
  <si>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</si>
  <si>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</si>
  <si>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</si>
  <si>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</si>
  <si>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</si>
  <si>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</si>
  <si>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</si>
  <si>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</si>
  <si>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</si>
  <si>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</si>
  <si>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</si>
  <si>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</si>
  <si>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</si>
  <si>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</si>
  <si>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</si>
  <si>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</si>
  <si>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</si>
  <si>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</si>
  <si>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</si>
  <si>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</si>
  <si>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</si>
  <si>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</si>
  <si>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</si>
  <si>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</si>
  <si>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</si>
  <si>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</si>
  <si>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</si>
  <si>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</si>
  <si>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</si>
  <si>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</si>
  <si>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</si>
  <si>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</si>
  <si>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</si>
  <si>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</si>
  <si>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</si>
  <si>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</si>
  <si>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</si>
  <si>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</si>
  <si>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</si>
  <si>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</si>
  <si>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</si>
  <si>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</si>
  <si>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</si>
  <si>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</si>
  <si>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</si>
  <si>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</si>
  <si>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</si>
  <si>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</si>
  <si>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</si>
  <si>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</si>
  <si>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</si>
  <si>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</si>
  <si>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</si>
  <si>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</si>
  <si>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</si>
  <si>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</si>
  <si>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</si>
  <si>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</si>
  <si>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</si>
  <si>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</si>
  <si>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</si>
  <si>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</si>
  <si>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</si>
  <si>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</si>
  <si>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</si>
  <si>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</si>
  <si>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</si>
  <si>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</si>
  <si>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</si>
  <si>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</si>
  <si>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</si>
  <si>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</si>
  <si>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</si>
  <si>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</si>
  <si>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</si>
  <si>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</si>
  <si>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</si>
  <si>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</si>
  <si>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</si>
  <si>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</si>
  <si>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</si>
  <si>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</si>
  <si>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</si>
  <si>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</si>
  <si>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</si>
  <si>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</si>
  <si>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</si>
  <si>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</si>
  <si>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</si>
  <si>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</si>
  <si>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</si>
  <si>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</si>
  <si>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</si>
  <si>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</si>
  <si>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</si>
  <si>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</si>
  <si>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</si>
  <si>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</si>
  <si>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</si>
  <si>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</si>
  <si>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</si>
  <si>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</si>
  <si>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</si>
  <si>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</si>
  <si>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</si>
  <si>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</si>
  <si>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</si>
  <si>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</si>
  <si>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</si>
  <si>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</si>
  <si>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</si>
  <si>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</si>
  <si>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</si>
  <si>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</si>
  <si>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</si>
  <si>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</si>
  <si>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</si>
  <si>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</si>
  <si>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</si>
  <si>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</si>
  <si>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</si>
  <si>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</si>
  <si>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</si>
  <si>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</si>
  <si>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</si>
  <si>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</si>
  <si>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</si>
  <si>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</si>
  <si>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</si>
  <si>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</si>
  <si>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</si>
  <si>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</si>
  <si>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</si>
  <si>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</si>
  <si>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</si>
  <si>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</si>
  <si>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</si>
  <si>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</si>
  <si>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</si>
  <si>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</si>
  <si>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</si>
  <si>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</si>
  <si>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</si>
  <si>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</si>
  <si>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</si>
  <si>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</si>
  <si>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</si>
  <si>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</si>
  <si>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</si>
  <si>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</si>
  <si>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</si>
  <si>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</si>
  <si>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</si>
  <si>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</si>
  <si>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</si>
  <si>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</si>
  <si>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</si>
  <si>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</si>
  <si>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</si>
  <si>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</si>
  <si>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</si>
  <si>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</si>
  <si>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</si>
  <si>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</si>
  <si>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</si>
  <si>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</si>
  <si>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</si>
  <si>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</si>
  <si>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</si>
  <si>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</si>
  <si>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</si>
  <si>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</si>
  <si>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</si>
  <si>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</si>
  <si>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</si>
  <si>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</si>
  <si>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</si>
  <si>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</si>
  <si>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</si>
  <si>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</si>
  <si>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</si>
  <si>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</si>
  <si>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</si>
  <si>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</si>
  <si>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</si>
  <si>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</si>
  <si>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</si>
  <si>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</si>
  <si>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</si>
  <si>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</si>
  <si>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</si>
  <si>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</si>
  <si>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</si>
  <si>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</si>
  <si>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</si>
  <si>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</si>
  <si>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</si>
  <si>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</si>
  <si>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</si>
  <si>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</si>
  <si>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</si>
  <si>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</si>
  <si>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</si>
  <si>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</si>
  <si>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</si>
  <si>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</si>
  <si>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</si>
  <si>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</si>
  <si>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</si>
  <si>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</si>
  <si>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</si>
  <si>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</si>
  <si>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</si>
  <si>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</si>
  <si>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</si>
  <si>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</si>
  <si>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</si>
  <si>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</si>
  <si>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</si>
  <si>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</si>
  <si>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</si>
  <si>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</si>
  <si>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</si>
  <si>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</si>
  <si>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</si>
  <si>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</si>
  <si>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</si>
  <si>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</si>
  <si>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</si>
  <si>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</si>
  <si>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</si>
  <si>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</si>
  <si>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</si>
  <si>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</si>
  <si>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</si>
  <si>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</si>
  <si>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</si>
  <si>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</si>
  <si>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</si>
  <si>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</si>
  <si>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</si>
  <si>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</si>
  <si>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</si>
  <si>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</si>
  <si>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</si>
  <si>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</si>
  <si>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</si>
  <si>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</si>
  <si>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</si>
  <si>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</si>
  <si>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</si>
  <si>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</si>
  <si>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</si>
  <si>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</si>
  <si>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</si>
  <si>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</si>
  <si>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</si>
  <si>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</si>
  <si>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</si>
  <si>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</si>
  <si>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</si>
  <si>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</si>
  <si>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</si>
  <si>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</si>
  <si>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</si>
  <si>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</si>
  <si>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</si>
  <si>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</si>
  <si>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</si>
  <si>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</si>
  <si>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</si>
  <si>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</si>
  <si>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</si>
  <si>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</si>
  <si>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</si>
  <si>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</si>
  <si>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</si>
  <si>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</si>
  <si>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</si>
  <si>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</si>
  <si>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</si>
  <si>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</si>
  <si>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</si>
  <si>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</si>
  <si>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</si>
  <si>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</si>
  <si>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</si>
  <si>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</si>
  <si>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</si>
  <si>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</si>
  <si>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</si>
  <si>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</si>
  <si>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</si>
  <si>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</si>
  <si>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</si>
  <si>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</si>
  <si>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</si>
  <si>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</si>
  <si>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</si>
  <si>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</si>
  <si>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</si>
  <si>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</si>
  <si>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</si>
  <si>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</si>
  <si>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</si>
  <si>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</si>
  <si>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</si>
  <si>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</si>
  <si>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</si>
  <si>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</si>
  <si>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</si>
  <si>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</si>
  <si>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</si>
  <si>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</si>
  <si>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</si>
  <si>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</si>
  <si>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</si>
  <si>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</si>
  <si>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</si>
  <si>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</si>
  <si>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</si>
  <si>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</si>
  <si>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</si>
  <si>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</si>
  <si>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</si>
  <si>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</si>
  <si>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</si>
  <si>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</si>
  <si>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</si>
  <si>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</si>
  <si>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</si>
  <si>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</si>
  <si>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</si>
  <si>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</si>
  <si>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</si>
  <si>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</si>
  <si>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</si>
  <si>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</si>
  <si>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</si>
  <si>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</si>
  <si>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</si>
  <si>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</si>
  <si>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</si>
  <si>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</si>
  <si>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</si>
  <si>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</si>
  <si>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</si>
  <si>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</si>
  <si>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</si>
  <si>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</si>
  <si>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</si>
  <si>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</si>
  <si>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</si>
  <si>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</si>
  <si>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</si>
  <si>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</si>
  <si>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</si>
  <si>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</si>
  <si>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</si>
  <si>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</si>
  <si>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</si>
  <si>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</si>
  <si>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</si>
  <si>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</si>
  <si>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</si>
  <si>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</si>
  <si>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</si>
  <si>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</si>
  <si>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</si>
  <si>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</si>
  <si>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</si>
  <si>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</si>
  <si>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</si>
  <si>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</si>
  <si>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</si>
  <si>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</si>
  <si>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</si>
  <si>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</si>
  <si>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</si>
  <si>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</si>
  <si>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</si>
  <si>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</si>
  <si>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</si>
  <si>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</si>
  <si>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</si>
  <si>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</si>
  <si>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</si>
  <si>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</si>
  <si>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</si>
  <si>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</si>
  <si>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</si>
  <si>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</si>
  <si>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</si>
  <si>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</si>
  <si>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</si>
  <si>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</si>
  <si>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</si>
  <si>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</si>
  <si>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</si>
  <si>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</si>
  <si>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</si>
  <si>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</si>
  <si>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</si>
  <si>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</si>
  <si>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</si>
  <si>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</si>
  <si>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</si>
  <si>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</si>
  <si>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</si>
  <si>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</si>
  <si>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</si>
  <si>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</si>
  <si>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</si>
  <si>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</si>
  <si>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</si>
  <si>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</si>
  <si>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</si>
  <si>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</si>
  <si>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</si>
  <si>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</si>
  <si>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</si>
  <si>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</si>
  <si>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</si>
  <si>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</si>
  <si>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</si>
  <si>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</si>
  <si>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</si>
  <si>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</si>
  <si>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</si>
  <si>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</si>
  <si>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</si>
  <si>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</si>
  <si>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</si>
  <si>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</si>
  <si>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</si>
  <si>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</si>
  <si>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</si>
  <si>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</si>
  <si>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</si>
  <si>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</si>
  <si>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</si>
  <si>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</si>
  <si>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</si>
  <si>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</si>
  <si>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</si>
  <si>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</si>
  <si>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</si>
  <si>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</si>
  <si>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</si>
  <si>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</si>
  <si>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</si>
  <si>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</si>
  <si>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</si>
  <si>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</si>
  <si>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</si>
  <si>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</si>
  <si>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</si>
  <si>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</si>
  <si>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</si>
  <si>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</si>
  <si>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</si>
  <si>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</si>
  <si>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</si>
  <si>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</si>
  <si>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</si>
  <si>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</si>
  <si>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</si>
  <si>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</si>
  <si>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</si>
  <si>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</si>
  <si>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</si>
  <si>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</si>
  <si>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</si>
  <si>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</si>
  <si>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</si>
  <si>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</si>
  <si>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</si>
  <si>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</si>
  <si>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</si>
  <si>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</si>
  <si>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</si>
  <si>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</si>
  <si>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</si>
  <si>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</si>
  <si>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</si>
  <si>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</si>
  <si>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</si>
  <si>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</si>
  <si>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</si>
  <si>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</si>
  <si>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</si>
  <si>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</si>
  <si>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</si>
  <si>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</si>
  <si>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</si>
  <si>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</si>
  <si>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</si>
  <si>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</si>
  <si>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</si>
  <si>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</si>
  <si>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</si>
  <si>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</si>
  <si>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</si>
  <si>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</si>
  <si>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</si>
  <si>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</si>
  <si>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</si>
  <si>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</si>
  <si>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</si>
  <si>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</si>
  <si>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</si>
  <si>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</si>
  <si>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</si>
  <si>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</si>
  <si>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</si>
  <si>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</si>
  <si>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</si>
  <si>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</si>
  <si>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</si>
  <si>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</si>
  <si>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</si>
  <si>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</si>
  <si>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</si>
  <si>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</si>
  <si>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</si>
  <si>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</si>
  <si>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</si>
  <si>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</si>
  <si>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</si>
  <si>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</si>
  <si>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</si>
  <si>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</si>
  <si>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</si>
  <si>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</si>
  <si>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</si>
  <si>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</si>
  <si>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</si>
  <si>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</si>
  <si>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</si>
  <si>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</si>
  <si>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</si>
  <si>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</si>
  <si>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</si>
  <si>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</si>
  <si>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</si>
  <si>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</si>
  <si>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</si>
  <si>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</si>
  <si>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</si>
  <si>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</si>
  <si>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</si>
  <si>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</si>
  <si>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</si>
  <si>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</si>
  <si>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</si>
  <si>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</si>
  <si>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</si>
  <si>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</si>
  <si>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</si>
  <si>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</si>
  <si>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</si>
  <si>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</si>
  <si>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</si>
  <si>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</si>
  <si>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</si>
  <si>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</si>
  <si>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</si>
  <si>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</si>
  <si>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</si>
  <si>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</si>
  <si>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</si>
  <si>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</si>
  <si>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</si>
  <si>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</si>
  <si>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</si>
  <si>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</si>
  <si>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</si>
  <si>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</si>
  <si>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</si>
  <si>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</si>
  <si>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</si>
  <si>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</si>
  <si>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</si>
  <si>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</si>
  <si>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</si>
  <si>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</si>
  <si>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</si>
  <si>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</si>
  <si>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</si>
  <si>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</si>
  <si>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</si>
  <si>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</si>
  <si>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</si>
  <si>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</si>
  <si>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</si>
  <si>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</si>
  <si>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</si>
  <si>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</si>
  <si>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</si>
  <si>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</si>
  <si>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</si>
  <si>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</si>
  <si>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</si>
  <si>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</si>
  <si>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</si>
  <si>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</si>
  <si>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</si>
  <si>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</si>
  <si>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</si>
  <si>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</si>
  <si>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</si>
  <si>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</si>
  <si>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</si>
  <si>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</si>
  <si>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</si>
  <si>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</si>
  <si>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</si>
  <si>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</si>
  <si>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</si>
  <si>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</si>
  <si>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</si>
  <si>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</si>
  <si>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</si>
  <si>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</si>
  <si>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</si>
  <si>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</si>
  <si>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</si>
  <si>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</si>
  <si>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</si>
  <si>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</si>
  <si>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</si>
  <si>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</si>
  <si>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</si>
  <si>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CID002180</t>
    <phoneticPr fontId="97" type="noConversion"/>
  </si>
  <si>
    <t>NO</t>
    <phoneticPr fontId="98"/>
  </si>
  <si>
    <t>No.32 laibin bridge, xingbin district, laibin city, guangxi province</t>
  </si>
  <si>
    <t>Dajing town, linxi county, chifeng city, Inner Mongolia</t>
  </si>
  <si>
    <t xml:space="preserve"> Gejiu city ,yunnan,china</t>
  </si>
  <si>
    <t>Jianmin Cao</t>
  </si>
  <si>
    <t>zhangbinghua</t>
    <phoneticPr fontId="98"/>
  </si>
  <si>
    <t>houxiaoqiang</t>
    <phoneticPr fontId="98"/>
  </si>
  <si>
    <t>Zhangxiangrong</t>
  </si>
  <si>
    <t>Jing Wang</t>
  </si>
  <si>
    <t>133821189231@126.com</t>
  </si>
  <si>
    <t>9713825@qq.com</t>
  </si>
  <si>
    <t>446286492@qq.com</t>
    <phoneticPr fontId="98"/>
  </si>
  <si>
    <t>yhtin_SZ@163.com</t>
  </si>
  <si>
    <t>18621815512@139.com</t>
  </si>
  <si>
    <t>NO</t>
    <phoneticPr fontId="98"/>
  </si>
  <si>
    <t>Guangxi Nandan Tongkeng Tin Mine;</t>
    <phoneticPr fontId="98"/>
  </si>
  <si>
    <t>Unknow</t>
    <phoneticPr fontId="98"/>
  </si>
  <si>
    <t>Yunnan Gejiu</t>
  </si>
  <si>
    <t>Leshan Radio Company,Ltd</t>
    <phoneticPr fontId="6" type="noConversion"/>
  </si>
  <si>
    <t>287 West People Road, Leshan, Sichuan P.R., China</t>
    <phoneticPr fontId="6" type="noConversion"/>
  </si>
  <si>
    <t>Xie Juan</t>
    <phoneticPr fontId="6" type="noConversion"/>
  </si>
  <si>
    <t>qacs@lrc.cn</t>
    <phoneticPr fontId="6" type="noConversion"/>
  </si>
  <si>
    <t xml:space="preserve"> 86-0833-2150321 </t>
    <phoneticPr fontId="6" type="noConversion"/>
  </si>
  <si>
    <t>ChenPeng</t>
    <phoneticPr fontId="6" type="noConversion"/>
  </si>
  <si>
    <t>QA-Manager</t>
    <phoneticPr fontId="6" type="noConversion"/>
  </si>
  <si>
    <t>Sign the Declaration  of Metal Conflict-Free  agreement with our suppliers</t>
    <phoneticPr fontId="6" type="noConversion"/>
  </si>
  <si>
    <t>NO</t>
    <phoneticPr fontId="98"/>
  </si>
  <si>
    <t>8 Buroh Street #01-06</t>
  </si>
  <si>
    <t>Jack Xue</t>
  </si>
  <si>
    <t>YF Tsoi</t>
  </si>
  <si>
    <t>Jack.xue@metalor.com</t>
    <phoneticPr fontId="98"/>
  </si>
  <si>
    <t>Shanghai Exchange Market</t>
  </si>
  <si>
    <t>Shanghai</t>
  </si>
  <si>
    <t>Yeuk_Fung.Tsoi@metalor.com</t>
    <phoneticPr fontId="98"/>
  </si>
  <si>
    <t>Recycled and scrap sourced</t>
    <phoneticPr fontId="98"/>
  </si>
  <si>
    <t>Unknow</t>
    <phoneticPr fontId="98"/>
  </si>
</sst>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 numFmtId="193" formatCode="[$-409]d/mmm/yyyy;@"/>
  </numFmts>
  <fonts count="103">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0"/>
      <color indexed="12"/>
      <name val="宋体"/>
      <family val="3"/>
      <charset val="128"/>
      <scheme val="major"/>
    </font>
    <font>
      <sz val="10"/>
      <name val="宋体"/>
      <family val="3"/>
      <charset val="128"/>
      <scheme val="major"/>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9"/>
      <name val="宋体"/>
      <family val="3"/>
      <charset val="134"/>
    </font>
    <font>
      <sz val="6"/>
      <name val="ＭＳ Ｐゴシック"/>
      <family val="3"/>
      <charset val="128"/>
    </font>
    <font>
      <sz val="10"/>
      <name val="宋体"/>
      <family val="3"/>
      <charset val="134"/>
    </font>
    <font>
      <sz val="12"/>
      <name val="宋体"/>
      <family val="3"/>
      <charset val="134"/>
      <scheme val="major"/>
    </font>
    <font>
      <u/>
      <sz val="12"/>
      <color indexed="12"/>
      <name val="宋体"/>
      <family val="3"/>
      <charset val="134"/>
      <scheme val="major"/>
    </font>
    <font>
      <sz val="12"/>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56"/>
      </left>
      <right style="thick">
        <color indexed="64"/>
      </right>
      <top style="thin">
        <color indexed="56"/>
      </top>
      <bottom/>
      <diagonal/>
    </border>
    <border>
      <left style="thin">
        <color indexed="64"/>
      </left>
      <right style="thick">
        <color indexed="64"/>
      </right>
      <top style="thin">
        <color indexed="64"/>
      </top>
      <bottom style="thin">
        <color indexed="64"/>
      </bottom>
      <diagonal/>
    </border>
  </borders>
  <cellStyleXfs count="595">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xf numFmtId="193" fontId="90" fillId="0" borderId="0"/>
    <xf numFmtId="193" fontId="90" fillId="0" borderId="0"/>
  </cellStyleXfs>
  <cellXfs count="476">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8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80" fontId="0" fillId="33" borderId="13" xfId="0" applyNumberFormat="1" applyFont="1" applyFill="1" applyBorder="1" applyAlignment="1">
      <alignment vertical="top" wrapText="1"/>
    </xf>
    <xf numFmtId="180" fontId="0" fillId="33" borderId="0" xfId="0" applyNumberFormat="1" applyFont="1" applyFill="1" applyBorder="1" applyAlignment="1"/>
    <xf numFmtId="180" fontId="9" fillId="33" borderId="0" xfId="0" applyNumberFormat="1" applyFont="1" applyFill="1" applyBorder="1"/>
    <xf numFmtId="180" fontId="14" fillId="33" borderId="0" xfId="0" applyNumberFormat="1" applyFont="1" applyFill="1" applyBorder="1" applyAlignment="1">
      <alignment horizontal="center" vertical="center" wrapText="1"/>
    </xf>
    <xf numFmtId="180" fontId="11" fillId="33" borderId="0" xfId="0" applyNumberFormat="1" applyFont="1" applyFill="1" applyBorder="1" applyAlignment="1">
      <alignment horizontal="center" vertical="center"/>
    </xf>
    <xf numFmtId="180" fontId="0" fillId="33" borderId="0" xfId="0" applyNumberFormat="1" applyFont="1" applyFill="1" applyBorder="1"/>
    <xf numFmtId="180" fontId="27" fillId="33" borderId="20"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8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80" fontId="53" fillId="0" borderId="0" xfId="480" applyFont="1" applyFill="1" applyAlignment="1">
      <alignment horizontal="left" vertical="top" wrapText="1"/>
    </xf>
    <xf numFmtId="18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8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8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80" fontId="53" fillId="0" borderId="0" xfId="480" applyFont="1" applyFill="1" applyBorder="1" applyAlignment="1">
      <alignment vertical="top" wrapText="1"/>
    </xf>
    <xf numFmtId="0" fontId="94" fillId="0" borderId="0" xfId="0" applyFont="1"/>
    <xf numFmtId="18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8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49" fontId="15" fillId="33" borderId="37" xfId="0" applyNumberFormat="1" applyFont="1" applyFill="1" applyBorder="1" applyAlignment="1" applyProtection="1">
      <alignment horizontal="left" vertical="center" wrapText="1"/>
      <protection locked="0"/>
    </xf>
    <xf numFmtId="0" fontId="0" fillId="33" borderId="53" xfId="0" applyFill="1" applyBorder="1" applyAlignment="1" applyProtection="1">
      <alignment horizontal="left" vertical="center" wrapText="1"/>
      <protection locked="0" hidden="1"/>
    </xf>
    <xf numFmtId="0" fontId="99" fillId="33" borderId="53" xfId="0" applyFont="1" applyFill="1" applyBorder="1" applyAlignment="1" applyProtection="1">
      <alignment horizontal="left" vertical="center" wrapText="1"/>
      <protection locked="0" hidden="1"/>
    </xf>
    <xf numFmtId="0" fontId="0" fillId="33" borderId="53" xfId="0" applyFill="1" applyBorder="1" applyAlignment="1" applyProtection="1">
      <alignment horizontal="left" vertical="center"/>
      <protection locked="0" hidden="1"/>
    </xf>
    <xf numFmtId="0" fontId="99" fillId="0" borderId="65" xfId="0" applyFont="1" applyBorder="1" applyProtection="1">
      <protection locked="0"/>
    </xf>
    <xf numFmtId="0" fontId="99" fillId="0" borderId="65" xfId="0" applyFont="1" applyBorder="1" applyAlignment="1" applyProtection="1">
      <alignment wrapText="1"/>
      <protection locked="0"/>
    </xf>
    <xf numFmtId="0" fontId="0" fillId="0" borderId="65" xfId="0" applyBorder="1" applyProtection="1">
      <protection locked="0"/>
    </xf>
    <xf numFmtId="0" fontId="99" fillId="33" borderId="42" xfId="0" applyFont="1" applyFill="1" applyBorder="1" applyAlignment="1" applyProtection="1">
      <alignment horizontal="left" vertical="center" wrapText="1"/>
      <protection locked="0"/>
    </xf>
    <xf numFmtId="0" fontId="0" fillId="33" borderId="42" xfId="0" applyFill="1" applyBorder="1" applyAlignment="1" applyProtection="1">
      <alignment horizontal="left" vertical="center"/>
      <protection locked="0"/>
    </xf>
    <xf numFmtId="0" fontId="0" fillId="0" borderId="65" xfId="0" applyBorder="1" applyAlignment="1" applyProtection="1">
      <alignment wrapText="1"/>
      <protection locked="0"/>
    </xf>
    <xf numFmtId="0" fontId="0" fillId="33" borderId="42" xfId="0" applyFill="1" applyBorder="1" applyAlignment="1" applyProtection="1">
      <alignment horizontal="left" vertical="center" wrapText="1"/>
      <protection locked="0"/>
    </xf>
    <xf numFmtId="193" fontId="90" fillId="0" borderId="48" xfId="593" applyBorder="1" applyAlignment="1" applyProtection="1">
      <alignment horizontal="left" vertical="center"/>
      <protection locked="0" hidden="1"/>
    </xf>
    <xf numFmtId="193" fontId="15" fillId="33" borderId="42" xfId="594" applyFont="1" applyFill="1" applyBorder="1" applyAlignment="1" applyProtection="1">
      <alignment horizontal="left" vertical="center"/>
      <protection locked="0"/>
    </xf>
    <xf numFmtId="0" fontId="0" fillId="0" borderId="66" xfId="0" applyBorder="1" applyAlignment="1" applyProtection="1">
      <alignment horizontal="left" vertical="center" wrapText="1"/>
      <protection locked="0" hidden="1"/>
    </xf>
    <xf numFmtId="0" fontId="0" fillId="0" borderId="65" xfId="0" applyFont="1" applyBorder="1" applyAlignment="1" applyProtection="1">
      <alignment wrapText="1"/>
      <protection locked="0"/>
    </xf>
    <xf numFmtId="0" fontId="0" fillId="33" borderId="65" xfId="0" applyFill="1" applyBorder="1" applyAlignment="1" applyProtection="1">
      <alignment horizontal="left" vertical="center" wrapText="1"/>
      <protection locked="0"/>
    </xf>
    <xf numFmtId="0" fontId="15" fillId="33" borderId="22" xfId="0" applyFont="1" applyFill="1" applyBorder="1" applyAlignment="1" applyProtection="1">
      <alignment wrapText="1"/>
      <protection locked="0" hidden="1"/>
    </xf>
    <xf numFmtId="0" fontId="90" fillId="33" borderId="42" xfId="0" applyFont="1" applyFill="1" applyBorder="1" applyAlignment="1" applyProtection="1">
      <alignment horizontal="left" vertical="center" wrapText="1"/>
      <protection locked="0"/>
    </xf>
    <xf numFmtId="0" fontId="15" fillId="33" borderId="42" xfId="0" applyFont="1" applyFill="1" applyBorder="1" applyAlignment="1" applyProtection="1">
      <alignment horizontal="left" vertical="center"/>
      <protection locked="0"/>
    </xf>
    <xf numFmtId="0" fontId="15" fillId="33" borderId="67" xfId="0" applyFont="1" applyFill="1" applyBorder="1" applyAlignment="1" applyProtection="1">
      <alignment horizontal="left" vertical="center" wrapText="1"/>
      <protection locked="0"/>
    </xf>
    <xf numFmtId="0" fontId="0" fillId="33" borderId="42" xfId="0" applyFont="1" applyFill="1" applyBorder="1" applyAlignment="1" applyProtection="1">
      <alignment horizontal="left" vertical="center"/>
      <protection locked="0"/>
    </xf>
    <xf numFmtId="193" fontId="102" fillId="33" borderId="67" xfId="594" applyFont="1" applyFill="1" applyBorder="1" applyAlignment="1" applyProtection="1">
      <alignment horizontal="left" vertical="center" wrapText="1"/>
      <protection locked="0"/>
    </xf>
    <xf numFmtId="0" fontId="0" fillId="33" borderId="67" xfId="0" applyFont="1" applyFill="1" applyBorder="1" applyAlignment="1" applyProtection="1">
      <alignment horizontal="left" vertical="center" wrapText="1"/>
      <protection locked="0"/>
    </xf>
    <xf numFmtId="0" fontId="0" fillId="0" borderId="68" xfId="0" applyFont="1" applyBorder="1" applyAlignment="1" applyProtection="1">
      <alignment wrapText="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80" fontId="25" fillId="0" borderId="48" xfId="570" applyNumberFormat="1" applyFont="1" applyFill="1" applyBorder="1" applyAlignment="1">
      <alignment horizontal="center" vertical="top" wrapText="1"/>
    </xf>
    <xf numFmtId="180" fontId="25" fillId="0" borderId="49" xfId="570" applyNumberFormat="1" applyFont="1" applyFill="1" applyBorder="1" applyAlignment="1">
      <alignment horizontal="center" vertical="top" wrapText="1"/>
    </xf>
    <xf numFmtId="180"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62" xfId="0" applyNumberFormat="1" applyFont="1" applyFill="1" applyBorder="1" applyAlignment="1" applyProtection="1">
      <alignment horizontal="left" vertical="center" wrapText="1"/>
      <protection locked="0"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61" xfId="487" applyNumberFormat="1" applyFill="1" applyBorder="1" applyAlignment="1" applyProtection="1">
      <alignment horizontal="left" vertical="center" wrapText="1"/>
      <protection locked="0" hidden="1"/>
    </xf>
    <xf numFmtId="49" fontId="100" fillId="33" borderId="10" xfId="0" applyNumberFormat="1" applyFont="1" applyFill="1" applyBorder="1" applyAlignment="1" applyProtection="1">
      <alignment horizontal="left" vertical="center" wrapText="1"/>
      <protection locked="0" hidden="1"/>
    </xf>
    <xf numFmtId="49" fontId="100" fillId="33" borderId="37" xfId="0" applyNumberFormat="1" applyFont="1" applyFill="1" applyBorder="1" applyAlignment="1" applyProtection="1">
      <alignment horizontal="left" vertical="center" wrapText="1"/>
      <protection locked="0" hidden="1"/>
    </xf>
    <xf numFmtId="49" fontId="101" fillId="33" borderId="61" xfId="487" applyNumberFormat="1" applyFont="1" applyFill="1" applyBorder="1" applyAlignment="1" applyProtection="1">
      <alignment horizontal="left" vertical="center" wrapText="1"/>
      <protection locked="0" hidden="1"/>
    </xf>
    <xf numFmtId="181" fontId="14" fillId="33" borderId="34" xfId="0" applyNumberFormat="1" applyFont="1" applyFill="1" applyBorder="1" applyAlignment="1" applyProtection="1">
      <alignment horizontal="center" wrapText="1"/>
      <protection locked="0"/>
    </xf>
    <xf numFmtId="18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5">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標準 2" xfId="589"/>
    <cellStyle name="標準 2 2" xfId="590"/>
    <cellStyle name="標準 2 3" xfId="591"/>
    <cellStyle name="常规" xfId="0" builtinId="0"/>
    <cellStyle name="常规 10" xfId="594"/>
    <cellStyle name="常规 9" xfId="593"/>
    <cellStyle name="超链接" xfId="487" builtinId="8"/>
    <cellStyle name="一般 7" xfId="588"/>
    <cellStyle name="표준 2" xfId="587"/>
  </cellStyles>
  <dxfs count="11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ill>
        <patternFill>
          <bgColor rgb="FFFF0000"/>
        </patternFill>
      </fill>
    </dxf>
    <dxf>
      <font>
        <color auto="1"/>
      </font>
      <fill>
        <patternFill patternType="solid">
          <bgColor indexed="10"/>
        </patternFill>
      </fill>
    </dxf>
    <dxf>
      <fill>
        <patternFill patternType="solid">
          <bgColor indexed="13"/>
        </patternFill>
      </fill>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qacs@lrc.cn"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87"/>
      <c r="B2" s="38" t="s">
        <v>870</v>
      </c>
      <c r="C2" s="36"/>
      <c r="D2" s="208"/>
      <c r="E2" s="3"/>
      <c r="F2" s="36"/>
      <c r="G2" s="34"/>
    </row>
    <row r="3" spans="1:7">
      <c r="A3" s="387"/>
      <c r="B3" s="5" t="s">
        <v>862</v>
      </c>
      <c r="C3" s="6"/>
      <c r="D3" s="209"/>
      <c r="E3" s="3"/>
      <c r="F3" s="6"/>
      <c r="G3" s="34"/>
    </row>
    <row r="4" spans="1:7" ht="15.75">
      <c r="A4" s="387"/>
      <c r="B4" s="41" t="s">
        <v>872</v>
      </c>
      <c r="C4" s="7"/>
      <c r="D4" s="210"/>
      <c r="E4" s="3"/>
      <c r="F4" s="7"/>
      <c r="G4" s="34"/>
    </row>
    <row r="5" spans="1:7">
      <c r="A5" s="387"/>
      <c r="B5" s="40" t="s">
        <v>1063</v>
      </c>
      <c r="C5" s="4"/>
      <c r="D5" s="211"/>
      <c r="E5" s="3"/>
      <c r="F5" s="4"/>
      <c r="G5" s="34"/>
    </row>
    <row r="6" spans="1:7">
      <c r="A6" s="387"/>
      <c r="B6" s="8"/>
      <c r="C6" s="8"/>
      <c r="D6" s="212"/>
      <c r="E6" s="8"/>
      <c r="F6" s="8"/>
      <c r="G6" s="34"/>
    </row>
    <row r="7" spans="1:7">
      <c r="A7" s="387"/>
      <c r="B7" s="8"/>
      <c r="C7" s="8"/>
      <c r="D7" s="212"/>
      <c r="E7" s="8"/>
      <c r="F7" s="8"/>
      <c r="G7" s="34"/>
    </row>
    <row r="8" spans="1:7">
      <c r="A8" s="387"/>
      <c r="B8" s="8"/>
      <c r="C8" s="8"/>
      <c r="D8" s="212"/>
      <c r="E8" s="8"/>
      <c r="F8" s="8"/>
      <c r="G8" s="34"/>
    </row>
    <row r="9" spans="1:7">
      <c r="A9" s="387"/>
      <c r="B9" s="390" t="s">
        <v>873</v>
      </c>
      <c r="C9" s="390"/>
      <c r="D9" s="390"/>
      <c r="E9" s="390"/>
      <c r="F9" s="390"/>
      <c r="G9" s="34"/>
    </row>
    <row r="10" spans="1:7" ht="27" customHeight="1">
      <c r="A10" s="387"/>
      <c r="B10" s="391" t="s">
        <v>448</v>
      </c>
      <c r="C10" s="391"/>
      <c r="D10" s="391"/>
      <c r="E10" s="391"/>
      <c r="F10" s="391"/>
      <c r="G10" s="34"/>
    </row>
    <row r="11" spans="1:7" ht="27" customHeight="1">
      <c r="A11" s="387"/>
      <c r="B11" s="392"/>
      <c r="C11" s="392"/>
      <c r="D11" s="392"/>
      <c r="E11" s="392"/>
      <c r="F11" s="392"/>
      <c r="G11" s="34"/>
    </row>
    <row r="12" spans="1:7">
      <c r="A12" s="387"/>
      <c r="B12" s="42" t="s">
        <v>871</v>
      </c>
      <c r="C12" s="43" t="s">
        <v>874</v>
      </c>
      <c r="D12" s="213" t="s">
        <v>875</v>
      </c>
      <c r="E12" s="43" t="s">
        <v>628</v>
      </c>
      <c r="F12" s="43" t="s">
        <v>629</v>
      </c>
      <c r="G12" s="34"/>
    </row>
    <row r="13" spans="1:7" ht="33.75">
      <c r="A13" s="387"/>
      <c r="B13" s="2">
        <v>1</v>
      </c>
      <c r="C13" s="37" t="s">
        <v>1111</v>
      </c>
      <c r="D13" s="39" t="s">
        <v>899</v>
      </c>
      <c r="E13" s="196" t="s">
        <v>876</v>
      </c>
      <c r="F13" s="196"/>
      <c r="G13" s="34"/>
    </row>
    <row r="14" spans="1:7" ht="33.75">
      <c r="A14" s="387"/>
      <c r="B14" s="2">
        <v>2</v>
      </c>
      <c r="C14" s="37" t="s">
        <v>1111</v>
      </c>
      <c r="D14" s="39" t="s">
        <v>1048</v>
      </c>
      <c r="E14" s="196" t="s">
        <v>540</v>
      </c>
      <c r="F14" s="196" t="s">
        <v>541</v>
      </c>
      <c r="G14" s="34"/>
    </row>
    <row r="15" spans="1:7" ht="89.1" customHeight="1">
      <c r="A15" s="387"/>
      <c r="B15" s="372">
        <v>2.0099999999999998</v>
      </c>
      <c r="C15" s="384" t="s">
        <v>1111</v>
      </c>
      <c r="D15" s="393" t="s">
        <v>2358</v>
      </c>
      <c r="E15" s="197" t="s">
        <v>630</v>
      </c>
      <c r="F15" s="197" t="s">
        <v>633</v>
      </c>
      <c r="G15" s="34"/>
    </row>
    <row r="16" spans="1:7" ht="99" customHeight="1">
      <c r="A16" s="387"/>
      <c r="B16" s="373"/>
      <c r="C16" s="385"/>
      <c r="D16" s="394"/>
      <c r="E16" s="198"/>
      <c r="F16" s="198" t="s">
        <v>631</v>
      </c>
      <c r="G16" s="34"/>
    </row>
    <row r="17" spans="1:7" ht="63" customHeight="1">
      <c r="A17" s="387"/>
      <c r="B17" s="374"/>
      <c r="C17" s="386"/>
      <c r="D17" s="395"/>
      <c r="E17" s="37"/>
      <c r="F17" s="37" t="s">
        <v>632</v>
      </c>
      <c r="G17" s="34"/>
    </row>
    <row r="18" spans="1:7" ht="117" customHeight="1">
      <c r="A18" s="387"/>
      <c r="B18" s="372">
        <v>2.02</v>
      </c>
      <c r="C18" s="384" t="s">
        <v>1111</v>
      </c>
      <c r="D18" s="393" t="s">
        <v>2359</v>
      </c>
      <c r="E18" s="197" t="s">
        <v>449</v>
      </c>
      <c r="F18" s="197" t="s">
        <v>535</v>
      </c>
      <c r="G18" s="34"/>
    </row>
    <row r="19" spans="1:7" ht="71.099999999999994" customHeight="1">
      <c r="A19" s="387"/>
      <c r="B19" s="373"/>
      <c r="C19" s="385"/>
      <c r="D19" s="394"/>
      <c r="E19" s="198" t="s">
        <v>539</v>
      </c>
      <c r="F19" s="198" t="s">
        <v>450</v>
      </c>
      <c r="G19" s="34"/>
    </row>
    <row r="20" spans="1:7" ht="90.75" customHeight="1">
      <c r="A20" s="387"/>
      <c r="B20" s="373"/>
      <c r="C20" s="385"/>
      <c r="D20" s="394"/>
      <c r="E20" s="198"/>
      <c r="F20" s="198" t="s">
        <v>635</v>
      </c>
      <c r="G20" s="34"/>
    </row>
    <row r="21" spans="1:7" ht="74.25" customHeight="1">
      <c r="A21" s="387"/>
      <c r="B21" s="374"/>
      <c r="C21" s="386"/>
      <c r="D21" s="395"/>
      <c r="E21" s="37"/>
      <c r="F21" s="37" t="s">
        <v>634</v>
      </c>
      <c r="G21" s="34"/>
    </row>
    <row r="22" spans="1:7" ht="90" customHeight="1">
      <c r="A22" s="387"/>
      <c r="B22" s="378">
        <v>2.0299999999999998</v>
      </c>
      <c r="C22" s="378" t="s">
        <v>845</v>
      </c>
      <c r="D22" s="381" t="s">
        <v>2360</v>
      </c>
      <c r="E22" s="384" t="s">
        <v>447</v>
      </c>
      <c r="F22" s="197" t="s">
        <v>470</v>
      </c>
      <c r="G22" s="34"/>
    </row>
    <row r="23" spans="1:7" ht="109.5" customHeight="1">
      <c r="A23" s="387"/>
      <c r="B23" s="379"/>
      <c r="C23" s="379"/>
      <c r="D23" s="382"/>
      <c r="E23" s="385"/>
      <c r="F23" s="198" t="s">
        <v>846</v>
      </c>
      <c r="G23" s="34"/>
    </row>
    <row r="24" spans="1:7" ht="74.25" customHeight="1">
      <c r="A24" s="387"/>
      <c r="B24" s="380"/>
      <c r="C24" s="380"/>
      <c r="D24" s="383"/>
      <c r="E24" s="386"/>
      <c r="F24" s="37" t="s">
        <v>446</v>
      </c>
      <c r="G24" s="34"/>
    </row>
    <row r="25" spans="1:7" ht="72" customHeight="1">
      <c r="A25" s="387"/>
      <c r="B25" s="2" t="s">
        <v>468</v>
      </c>
      <c r="C25" s="37" t="s">
        <v>469</v>
      </c>
      <c r="D25" s="39" t="s">
        <v>2361</v>
      </c>
      <c r="E25" s="37" t="s">
        <v>2356</v>
      </c>
      <c r="F25" s="37" t="s">
        <v>471</v>
      </c>
      <c r="G25" s="34"/>
    </row>
    <row r="26" spans="1:7" ht="98.1" customHeight="1">
      <c r="A26" s="387"/>
      <c r="B26" s="375">
        <v>3</v>
      </c>
      <c r="C26" s="372" t="s">
        <v>72</v>
      </c>
      <c r="D26" s="393" t="s">
        <v>2362</v>
      </c>
      <c r="E26" s="384" t="s">
        <v>0</v>
      </c>
      <c r="F26" s="197" t="s">
        <v>66</v>
      </c>
      <c r="G26" s="34"/>
    </row>
    <row r="27" spans="1:7" ht="90" customHeight="1">
      <c r="A27" s="387"/>
      <c r="B27" s="376"/>
      <c r="C27" s="373"/>
      <c r="D27" s="394"/>
      <c r="E27" s="385"/>
      <c r="F27" s="198" t="s">
        <v>61</v>
      </c>
      <c r="G27" s="34"/>
    </row>
    <row r="28" spans="1:7" ht="19.350000000000001" customHeight="1">
      <c r="A28" s="387"/>
      <c r="B28" s="376"/>
      <c r="C28" s="373"/>
      <c r="D28" s="394"/>
      <c r="E28" s="385"/>
      <c r="F28" s="198" t="s">
        <v>62</v>
      </c>
      <c r="G28" s="34"/>
    </row>
    <row r="29" spans="1:7" ht="74.45" customHeight="1">
      <c r="A29" s="387"/>
      <c r="B29" s="376"/>
      <c r="C29" s="373"/>
      <c r="D29" s="394"/>
      <c r="E29" s="385"/>
      <c r="F29" s="198" t="s">
        <v>63</v>
      </c>
      <c r="G29" s="34"/>
    </row>
    <row r="30" spans="1:7" ht="62.45" customHeight="1">
      <c r="A30" s="387"/>
      <c r="B30" s="376"/>
      <c r="C30" s="373"/>
      <c r="D30" s="394"/>
      <c r="E30" s="385"/>
      <c r="F30" s="198" t="s">
        <v>64</v>
      </c>
      <c r="G30" s="34"/>
    </row>
    <row r="31" spans="1:7" ht="81" customHeight="1">
      <c r="A31" s="387"/>
      <c r="B31" s="376"/>
      <c r="C31" s="373"/>
      <c r="D31" s="394"/>
      <c r="E31" s="385"/>
      <c r="F31" s="198" t="s">
        <v>65</v>
      </c>
      <c r="G31" s="34"/>
    </row>
    <row r="32" spans="1:7" ht="48.75" customHeight="1">
      <c r="A32" s="387"/>
      <c r="B32" s="376"/>
      <c r="C32" s="373"/>
      <c r="D32" s="394"/>
      <c r="E32" s="385"/>
      <c r="F32" s="198" t="s">
        <v>68</v>
      </c>
      <c r="G32" s="34"/>
    </row>
    <row r="33" spans="1:7" ht="98.45" customHeight="1">
      <c r="A33" s="387"/>
      <c r="B33" s="376"/>
      <c r="C33" s="373"/>
      <c r="D33" s="394"/>
      <c r="E33" s="385"/>
      <c r="F33" s="198" t="s">
        <v>67</v>
      </c>
      <c r="G33" s="34"/>
    </row>
    <row r="34" spans="1:7" ht="89.1" customHeight="1">
      <c r="A34" s="387"/>
      <c r="B34" s="376"/>
      <c r="C34" s="373"/>
      <c r="D34" s="394"/>
      <c r="E34" s="385"/>
      <c r="F34" s="198" t="s">
        <v>69</v>
      </c>
      <c r="G34" s="34"/>
    </row>
    <row r="35" spans="1:7" ht="29.1" customHeight="1">
      <c r="A35" s="387"/>
      <c r="B35" s="376"/>
      <c r="C35" s="373"/>
      <c r="D35" s="394"/>
      <c r="E35" s="385"/>
      <c r="F35" s="198" t="s">
        <v>70</v>
      </c>
      <c r="G35" s="34"/>
    </row>
    <row r="36" spans="1:7" ht="126.75">
      <c r="A36" s="387"/>
      <c r="B36" s="377"/>
      <c r="C36" s="374"/>
      <c r="D36" s="395"/>
      <c r="E36" s="386"/>
      <c r="F36" s="199" t="s">
        <v>71</v>
      </c>
      <c r="G36" s="34"/>
    </row>
    <row r="37" spans="1:7" ht="112.5">
      <c r="A37" s="387"/>
      <c r="B37" s="171">
        <v>3.01</v>
      </c>
      <c r="C37" s="172" t="s">
        <v>72</v>
      </c>
      <c r="D37" s="39" t="s">
        <v>2363</v>
      </c>
      <c r="E37" s="200" t="s">
        <v>1351</v>
      </c>
      <c r="F37" s="201" t="s">
        <v>1457</v>
      </c>
      <c r="G37" s="34"/>
    </row>
    <row r="38" spans="1:7" ht="101.25">
      <c r="A38" s="387"/>
      <c r="B38" s="171">
        <v>3.02</v>
      </c>
      <c r="C38" s="172" t="s">
        <v>1384</v>
      </c>
      <c r="D38" s="39" t="s">
        <v>2364</v>
      </c>
      <c r="E38" s="200" t="s">
        <v>1399</v>
      </c>
      <c r="F38" s="201" t="s">
        <v>1458</v>
      </c>
      <c r="G38" s="34"/>
    </row>
    <row r="39" spans="1:7" ht="101.25">
      <c r="A39" s="387"/>
      <c r="B39" s="182">
        <v>4</v>
      </c>
      <c r="C39" s="181" t="s">
        <v>1554</v>
      </c>
      <c r="D39" s="39" t="s">
        <v>2365</v>
      </c>
      <c r="E39" s="37" t="s">
        <v>2307</v>
      </c>
      <c r="F39" s="37" t="s">
        <v>1555</v>
      </c>
      <c r="G39" s="34"/>
    </row>
    <row r="40" spans="1:7" ht="56.25">
      <c r="A40" s="387"/>
      <c r="B40" s="171">
        <v>4.01</v>
      </c>
      <c r="C40" s="181" t="s">
        <v>1554</v>
      </c>
      <c r="D40" s="39" t="s">
        <v>2367</v>
      </c>
      <c r="E40" s="37" t="s">
        <v>2321</v>
      </c>
      <c r="F40" s="37" t="s">
        <v>2326</v>
      </c>
      <c r="G40" s="34"/>
    </row>
    <row r="41" spans="1:7" ht="56.25">
      <c r="A41" s="387"/>
      <c r="B41" s="171" t="s">
        <v>2354</v>
      </c>
      <c r="C41" s="181" t="s">
        <v>1554</v>
      </c>
      <c r="D41" s="39" t="s">
        <v>2366</v>
      </c>
      <c r="E41" s="37" t="s">
        <v>2357</v>
      </c>
      <c r="F41" s="37" t="s">
        <v>2355</v>
      </c>
      <c r="G41" s="34"/>
    </row>
    <row r="42" spans="1:7" ht="56.25">
      <c r="A42" s="387"/>
      <c r="B42" s="171" t="s">
        <v>2399</v>
      </c>
      <c r="C42" s="181" t="s">
        <v>1554</v>
      </c>
      <c r="D42" s="39" t="s">
        <v>2406</v>
      </c>
      <c r="E42" s="37" t="s">
        <v>2356</v>
      </c>
      <c r="F42" s="37" t="s">
        <v>2400</v>
      </c>
      <c r="G42" s="34"/>
    </row>
    <row r="43" spans="1:7" ht="123.75">
      <c r="A43" s="387"/>
      <c r="B43" s="193">
        <v>4.0999999999999996</v>
      </c>
      <c r="C43" s="181" t="s">
        <v>2405</v>
      </c>
      <c r="D43" s="194">
        <v>42867</v>
      </c>
      <c r="E43" s="202" t="s">
        <v>2408</v>
      </c>
      <c r="F43" s="37" t="s">
        <v>2407</v>
      </c>
      <c r="G43" s="34"/>
    </row>
    <row r="44" spans="1:7" ht="78.75">
      <c r="A44" s="387"/>
      <c r="B44" s="193">
        <v>4.2</v>
      </c>
      <c r="C44" s="181" t="s">
        <v>2405</v>
      </c>
      <c r="D44" s="194">
        <v>42704</v>
      </c>
      <c r="E44" s="202" t="s">
        <v>2625</v>
      </c>
      <c r="F44" s="37" t="s">
        <v>2598</v>
      </c>
      <c r="G44" s="34"/>
    </row>
    <row r="45" spans="1:7" ht="157.5">
      <c r="A45" s="387"/>
      <c r="B45" s="243">
        <v>5</v>
      </c>
      <c r="C45" s="181" t="s">
        <v>2405</v>
      </c>
      <c r="D45" s="194">
        <v>42867</v>
      </c>
      <c r="E45" s="202" t="s">
        <v>13032</v>
      </c>
      <c r="F45" s="37" t="s">
        <v>12754</v>
      </c>
      <c r="G45" s="34"/>
    </row>
    <row r="46" spans="1:7" ht="45">
      <c r="A46" s="387"/>
      <c r="B46" s="193">
        <v>5.01</v>
      </c>
      <c r="C46" s="181" t="s">
        <v>2405</v>
      </c>
      <c r="D46" s="194">
        <v>42907</v>
      </c>
      <c r="E46" s="202" t="s">
        <v>13052</v>
      </c>
      <c r="F46" s="37" t="s">
        <v>12754</v>
      </c>
      <c r="G46" s="34"/>
    </row>
    <row r="47" spans="1:7" ht="67.5">
      <c r="A47" s="387"/>
      <c r="B47" s="193">
        <v>5.0999999999999996</v>
      </c>
      <c r="C47" s="181" t="s">
        <v>2405</v>
      </c>
      <c r="D47" s="194">
        <v>43070</v>
      </c>
      <c r="E47" s="202" t="s">
        <v>13247</v>
      </c>
      <c r="F47" s="37" t="s">
        <v>13248</v>
      </c>
      <c r="G47" s="34"/>
    </row>
    <row r="48" spans="1:7" ht="56.25">
      <c r="A48" s="387"/>
      <c r="B48" s="193">
        <v>5.1100000000000003</v>
      </c>
      <c r="C48" s="181" t="s">
        <v>13489</v>
      </c>
      <c r="D48" s="194">
        <v>43217</v>
      </c>
      <c r="E48" s="202" t="s">
        <v>13617</v>
      </c>
      <c r="F48" s="37" t="s">
        <v>13523</v>
      </c>
      <c r="G48" s="34"/>
    </row>
    <row r="49" spans="1:7" ht="56.25">
      <c r="A49" s="387"/>
      <c r="B49" s="193">
        <v>5.12</v>
      </c>
      <c r="C49" s="181" t="s">
        <v>13489</v>
      </c>
      <c r="D49" s="194">
        <v>43581</v>
      </c>
      <c r="E49" s="202" t="s">
        <v>13617</v>
      </c>
      <c r="F49" s="37" t="s">
        <v>14191</v>
      </c>
      <c r="G49" s="34"/>
    </row>
    <row r="50" spans="1:7" ht="78.75">
      <c r="A50" s="387"/>
      <c r="B50" s="243">
        <v>6</v>
      </c>
      <c r="C50" s="181" t="s">
        <v>13489</v>
      </c>
      <c r="D50" s="194">
        <v>43964</v>
      </c>
      <c r="E50" s="202" t="s">
        <v>14433</v>
      </c>
      <c r="F50" s="37" t="s">
        <v>14204</v>
      </c>
      <c r="G50" s="34"/>
    </row>
    <row r="51" spans="1:7" ht="45">
      <c r="A51" s="387"/>
      <c r="B51" s="193">
        <v>6.01</v>
      </c>
      <c r="C51" s="181" t="s">
        <v>13489</v>
      </c>
      <c r="D51" s="194">
        <v>43970</v>
      </c>
      <c r="E51" s="202" t="s">
        <v>15503</v>
      </c>
      <c r="F51" s="202" t="s">
        <v>14204</v>
      </c>
      <c r="G51" s="34"/>
    </row>
    <row r="52" spans="1:7" ht="13.5" thickBot="1">
      <c r="A52" s="388"/>
      <c r="B52" s="389" t="str">
        <f ca="1">OFFSET(L!$C$1,MATCH("General"&amp;"Cpy",L!$A:$A,0)-1,SL,,)</f>
        <v>© 2020 Responsible Minerals Initiative。保留所有权利。</v>
      </c>
      <c r="C52" s="389"/>
      <c r="D52" s="389"/>
      <c r="E52" s="389"/>
      <c r="F52" s="389"/>
      <c r="G52" s="35"/>
    </row>
    <row r="53" spans="1:7" ht="13.5"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97"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97"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97"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网址：(www.responsiblemineralsinitiative.org) 培训和指导、模板、负责任矿物审验流程合规冶炼厂列表。</v>
      </c>
      <c r="B1" s="114" t="s">
        <v>452</v>
      </c>
    </row>
    <row r="2" spans="1:2" ht="30">
      <c r="A2" s="124" t="str">
        <f ca="1">OFFSET(L!$C$1,MATCH("Instructions"&amp;ADDRESS(ROW(),COLUMN(),4),L!$A:$A,0)-1,SL,,)</f>
        <v>介绍</v>
      </c>
      <c r="B2" s="114" t="s">
        <v>1327</v>
      </c>
    </row>
    <row r="3" spans="1:2" ht="181.5" customHeight="1">
      <c r="A3" s="121"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v>
      </c>
      <c r="B3" s="114" t="s">
        <v>1328</v>
      </c>
    </row>
    <row r="4" spans="1:2" ht="189.95" customHeight="1">
      <c r="A4" s="121" t="str">
        <f ca="1">OFFSET(L!$C$1,MATCH("Instructions"&amp;ADDRESS(ROW(),COLUMN(),4),L!$A:$A,0)-1,SL,,)</f>
        <v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v>
      </c>
      <c r="B4" s="114" t="s">
        <v>1334</v>
      </c>
    </row>
    <row r="5" spans="1:2" ht="15">
      <c r="A5" s="125"/>
      <c r="B5" s="114"/>
    </row>
    <row r="6" spans="1:2" ht="30">
      <c r="A6" s="124" t="str">
        <f ca="1">OFFSET(L!$C$1,MATCH("Instructions"&amp;ADDRESS(ROW(),COLUMN(),4),L!$A:$A,0)-1,SL,,)</f>
        <v>公司信息的填写说明（第 8 至 22 行）。_x000D_
请仅以英文作答</v>
      </c>
      <c r="B6" s="114" t="s">
        <v>1327</v>
      </c>
    </row>
    <row r="7" spans="1:2" ht="15">
      <c r="A7" s="294" t="str">
        <f ca="1">OFFSET(L!$C$1,MATCH("Instructions"&amp;ADDRESS(ROW(),COLUMN(),4),L!$A:$A,0)-1,SL,,)</f>
        <v>注：带星号 (*) 的字段为必填。</v>
      </c>
      <c r="B7" s="114"/>
    </row>
    <row r="8" spans="1:2" ht="15">
      <c r="A8" s="121" t="str">
        <f ca="1">OFFSET(L!$C$1,MATCH("Instructions"&amp;ADDRESS(ROW(),COLUMN(),4),L!$A:$A,0)-1,SL,,)</f>
        <v>1. 插入贵公司的法定名称。请勿使用缩写。在此字段中，您可以选择添加其他商业名称、营业名称等。</v>
      </c>
      <c r="B8" s="114"/>
    </row>
    <row r="9" spans="1:2" ht="309.95" customHeight="1">
      <c r="A9" s="177" t="str">
        <f ca="1">OFFSET(L!$C$1,MATCH("Instructions"&amp;ADDRESS(ROW(),COLUMN(),4),L!$A:$A,0)-1,SL,,)</f>
        <v>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v>
      </c>
      <c r="B9" s="114" t="s">
        <v>1326</v>
      </c>
    </row>
    <row r="10" spans="1:2" ht="36" customHeight="1">
      <c r="A10" s="121" t="str">
        <f ca="1">OFFSET(L!$C$1,MATCH("Instructions"&amp;ADDRESS(ROW(),COLUMN(),4),L!$A:$A,0)-1,SL,,)</f>
        <v>3. 插入贵公司的唯一识别序号或编号（DUNS 号码、VAT 号码、客户特定识别码等）</v>
      </c>
      <c r="B10" s="114"/>
    </row>
    <row r="11" spans="1:2" ht="35.25" customHeight="1">
      <c r="A11" s="121" t="str">
        <f ca="1">OFFSET(L!$C$1,MATCH("Instructions"&amp;ADDRESS(ROW(),COLUMN(),4),L!$A:$A,0)-1,SL,,)</f>
        <v>4. 插入唯一识别序号或代码出处（例如“DUNS”、“VAT”、“客户”等）</v>
      </c>
      <c r="B11" s="114"/>
    </row>
    <row r="12" spans="1:2" ht="30">
      <c r="A12" s="121" t="str">
        <f ca="1">OFFSET(L!$C$1,MATCH("Instructions"&amp;ADDRESS(ROW(),COLUMN(),4),L!$A:$A,0)-1,SL,,)</f>
        <v>5. 插入贵公司的完整地址（街道、城市、州、国家或地区、邮政编码）。此为必填字段。</v>
      </c>
      <c r="B12" s="114" t="s">
        <v>1327</v>
      </c>
    </row>
    <row r="13" spans="1:2" ht="33.75" customHeight="1">
      <c r="A13" s="121" t="str">
        <f ca="1">OFFSET(L!$C$1,MATCH("Instructions"&amp;ADDRESS(ROW(),COLUMN(),4),L!$A:$A,0)-1,SL,,)</f>
        <v>6. 插入对此申报信息内容负责的联系人姓名。此为必填字段。</v>
      </c>
      <c r="B13" s="114"/>
    </row>
    <row r="14" spans="1:2" ht="15">
      <c r="A14" s="121" t="str">
        <f ca="1">OFFSET(L!$C$1,MATCH("Instructions"&amp;ADDRESS(ROW(),COLUMN(),4),L!$A:$A,0)-1,SL,,)</f>
        <v>7. 插入联系人的电子邮件地址。如果没有电子邮件地址，请说明“无”或“不适用”。如留空此字段，会导致此表格出错。此为必填字段。</v>
      </c>
      <c r="B14" s="114"/>
    </row>
    <row r="15" spans="1:2" ht="15">
      <c r="A15" s="121" t="str">
        <f ca="1">OFFSET(L!$C$1,MATCH("Instructions"&amp;ADDRESS(ROW(),COLUMN(),4),L!$A:$A,0)-1,SL,,)</f>
        <v>8. 插入联系人的电话号码。此为必填字段。</v>
      </c>
      <c r="B15" s="114"/>
    </row>
    <row r="16" spans="1:2" ht="15">
      <c r="A16" s="121" t="str">
        <f ca="1">OFFSET(L!$C$1,MATCH("Instructions"&amp;ADDRESS(ROW(),COLUMN(),4),L!$A:$A,0)-1,SL,,)</f>
        <v xml:space="preserve">9. 插入负责申报信息内容的人员姓名。授权人可能与联系人不同。请勿填写“相同”或相似信息，而需提供授权人的姓名。此为必填字段。 </v>
      </c>
      <c r="B16" s="114"/>
    </row>
    <row r="17" spans="1:2" ht="15">
      <c r="A17" s="121" t="str">
        <f ca="1">OFFSET(L!$C$1,MATCH("Instructions"&amp;ADDRESS(ROW(),COLUMN(),4),L!$A:$A,0)-1,SL,,)</f>
        <v>10. 输入授权人的职位。 此为选填字段。</v>
      </c>
      <c r="B17" s="114"/>
    </row>
    <row r="18" spans="1:2" ht="15">
      <c r="A18" s="121" t="str">
        <f ca="1">OFFSET(L!$C$1,MATCH("Instructions"&amp;ADDRESS(ROW(),COLUMN(),4),L!$A:$A,0)-1,SL,,)</f>
        <v>11.  输入授权人的电子邮件地址。如果没有电子邮件地址，请声明“无”或“不适用”。如留空此字段，会导致表格出错。此为必填字段。</v>
      </c>
      <c r="B18" s="114"/>
    </row>
    <row r="19" spans="1:2" ht="15">
      <c r="A19" s="121" t="str">
        <f ca="1">OFFSET(L!$C$1,MATCH("Instructions"&amp;ADDRESS(ROW(),COLUMN(),4),L!$A:$A,0)-1,SL,,)</f>
        <v>12. 插入授权人的电话号码。此字段自由选择填写。</v>
      </c>
      <c r="B19" s="114"/>
    </row>
    <row r="20" spans="1:2" ht="33.75" customHeight="1">
      <c r="A20" s="121" t="str">
        <f ca="1">OFFSET(L!$C$1,MATCH("Instructions"&amp;ADDRESS(ROW(),COLUMN(),4),L!$A:$A,0)-1,SL,,)</f>
        <v>13. 请使用“日-月-年”的格式输入申报日期。此为必填字段。</v>
      </c>
      <c r="B20" s="114"/>
    </row>
    <row r="21" spans="1:2" ht="30">
      <c r="A21" s="121" t="str">
        <f ca="1">OFFSET(L!$C$1,MATCH("Instructions"&amp;ADDRESS(ROW(),COLUMN(),4),L!$A:$A,0)-1,SL,,)</f>
        <v>14. 例如，用户应将文件名保存为“公司名-日期.xls”（日期格式为年-月-日）。</v>
      </c>
      <c r="B21" s="114" t="s">
        <v>1327</v>
      </c>
    </row>
    <row r="22" spans="1:2" ht="15">
      <c r="A22" s="125"/>
      <c r="B22" s="114"/>
    </row>
    <row r="23" spans="1:2" ht="30">
      <c r="A23" s="124" t="str">
        <f ca="1">OFFSET(L!$C$1,MATCH("Instructions"&amp;ADDRESS(ROW(),COLUMN(),4),L!$A:$A,0)-1,SL,,)</f>
        <v>八道尽职调查问题的填写指南（第 24 至 71 行）。_x000D_
请仅以英文作答</v>
      </c>
      <c r="B23" s="114" t="s">
        <v>1327</v>
      </c>
    </row>
    <row r="24" spans="1:2" ht="45">
      <c r="A24" s="121"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114" t="s">
        <v>1330</v>
      </c>
    </row>
    <row r="25" spans="1:2" ht="45">
      <c r="A25" s="121"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v>
      </c>
      <c r="B25" s="114" t="s">
        <v>1327</v>
      </c>
    </row>
    <row r="26" spans="1:2" ht="276.75" customHeight="1">
      <c r="A26" s="121"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v>
      </c>
      <c r="B26" s="114" t="s">
        <v>1327</v>
      </c>
    </row>
    <row r="27" spans="1:2" ht="30">
      <c r="A27" s="121" t="str">
        <f ca="1">OFFSET(L!$C$1,MATCH("Instructions"&amp;ADDRESS(ROW(),COLUMN(),4),L!$A:$A,0)-1,SL,,)</f>
        <v xml:space="preserve">如果回答为“否”，某些公司需要进一步求证，请在注释栏中详细说明。 </v>
      </c>
      <c r="B27" s="114" t="s">
        <v>1327</v>
      </c>
    </row>
    <row r="28" spans="1:2" ht="247.5" customHeight="1">
      <c r="A28" s="121"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v>
      </c>
      <c r="B28" s="114"/>
    </row>
    <row r="29" spans="1:2" ht="105">
      <c r="A29" s="121"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v>
      </c>
      <c r="B29" s="114" t="s">
        <v>1327</v>
      </c>
    </row>
    <row r="30" spans="1:2" ht="152.1" customHeight="1">
      <c r="A30" s="121" t="str">
        <f ca="1">OFFSET(L!$C$1,MATCH("Instructions"&amp;ADDRESS(ROW(),COLUMN(),4),L!$A:$A,0)-1,SL,,)</f>
        <v>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v>
      </c>
      <c r="B30" s="114"/>
    </row>
    <row r="31" spans="1:2" ht="153" customHeight="1">
      <c r="A31" s="121" t="str">
        <f ca="1">OFFSET(L!$C$1,MATCH("Instructions"&amp;ADDRESS(ROW(),COLUMN(),4),L!$A:$A,0)-1,SL,,)</f>
        <v>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v>
      </c>
      <c r="B31" s="114" t="s">
        <v>1327</v>
      </c>
    </row>
    <row r="32" spans="1:2" ht="165">
      <c r="A32" s="121" t="str">
        <f ca="1">OFFSET(L!$C$1,MATCH("Instructions"&amp;ADDRESS(ROW(),COLUMN(),4),L!$A:$A,0)-1,SL,,)</f>
        <v>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v>
      </c>
      <c r="B32" s="114" t="s">
        <v>1330</v>
      </c>
    </row>
    <row r="33" spans="1:2" ht="60">
      <c r="A33" s="121" t="str">
        <f ca="1">OFFSET(L!$C$1,MATCH("Instructions"&amp;ADDRESS(ROW(),COLUMN(),4),L!$A:$A,0)-1,SL,,)</f>
        <v>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v>
      </c>
      <c r="B33" s="114"/>
    </row>
    <row r="34" spans="1:2" ht="30">
      <c r="A34" s="121"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114" t="s">
        <v>1327</v>
      </c>
    </row>
    <row r="35" spans="1:2" ht="15">
      <c r="A35" s="121" t="str">
        <f ca="1">OFFSET(L!$C$1,MATCH("Instructions"&amp;ADDRESS(ROW(),COLUMN(),4),L!$A:$A,0)-1,SL,,)</f>
        <v>在注释部分提供您的意见，以进一步说明您的回答。</v>
      </c>
      <c r="B35" s="114"/>
    </row>
    <row r="36" spans="1:2" ht="15">
      <c r="A36" s="125"/>
      <c r="B36" s="114"/>
    </row>
    <row r="37" spans="1:2" ht="30">
      <c r="A37" s="124" t="str">
        <f ca="1">OFFSET(L!$C$1,MATCH("Instructions"&amp;ADDRESS(ROW(),COLUMN(),4),L!$A:$A,0)-1,SL,,)</f>
        <v>完成问题 A 至 H 的说明（第 75 至 89 行）。如果问题 1 和 2 就任何金属的回答为“是”，必须回答问题 A 至 H。_x000D_
请仅以英文作答</v>
      </c>
      <c r="B37" s="114" t="s">
        <v>1327</v>
      </c>
    </row>
    <row r="38" spans="1:2" ht="135">
      <c r="A38" s="121"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114" t="s">
        <v>1329</v>
      </c>
    </row>
    <row r="39" spans="1:2" ht="45">
      <c r="A39" s="121" t="str">
        <f ca="1">OFFSET(L!$C$1,MATCH("Instructions"&amp;ADDRESS(ROW(),COLUMN(),4),L!$A:$A,0)-1,SL,,)</f>
        <v>A. 这是披露公司是否具有负责任矿产采购政策的申报。请以“是”或“否”来回答此问题。须在问题注释字段提供说明。_x000D_
_x000D_
此问题必须作答。</v>
      </c>
      <c r="B39" s="114"/>
    </row>
    <row r="40" spans="1:2" ht="60">
      <c r="A40" s="121" t="str">
        <f ca="1">OFFSET(L!$C$1,MATCH("Instructions"&amp;ADDRESS(ROW(),COLUMN(),4),L!$A:$A,0)-1,SL,,)</f>
        <v>B. 这是披露公司的负责任矿产采购政策是否可在公司网站上获取的申报。请以“是”或“否”来回答此问题。如果回答“是”，用户应当在问题注释字段指出 URL。_x000D_
_x000D_
此问题必须作答。</v>
      </c>
      <c r="B40" s="114"/>
    </row>
    <row r="41" spans="1:2" ht="75">
      <c r="A41" s="121" t="str">
        <f ca="1">OFFSET(L!$C$1,MATCH("Instructions"&amp;ADDRESS(ROW(),COLUMN(),4),L!$A:$A,0)-1,SL,,)</f>
        <v>C. 此申报是要确定公司要求直接供应商从经过验证的无冲突矿产的冶炼厂处采购 3TG。请以“是”或“否”来回答此问题。须在问题注释字段提供说明。_x000D_
_x000D_
此问题必须作答。</v>
      </c>
      <c r="B41" s="114" t="s">
        <v>1332</v>
      </c>
    </row>
    <row r="42" spans="1:2" ht="120">
      <c r="A42" s="121"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v>
      </c>
      <c r="B42" s="114" t="s">
        <v>1330</v>
      </c>
    </row>
    <row r="43" spans="1:2" ht="120">
      <c r="A43" s="121"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v>
      </c>
      <c r="B43" s="114" t="s">
        <v>1331</v>
      </c>
    </row>
    <row r="44" spans="1:2" ht="105">
      <c r="A44" s="121" t="str">
        <f ca="1">OFFSET(L!$C$1,MATCH("Instructions"&amp;ADDRESS(ROW(),COLUMN(),4),L!$A:$A,0)-1,SL,,)</f>
        <v>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v>
      </c>
      <c r="B44" s="114" t="s">
        <v>1327</v>
      </c>
    </row>
    <row r="45" spans="1:2" ht="120">
      <c r="A45" s="121" t="str">
        <f ca="1">OFFSET(L!$C$1,MATCH("Instructions"&amp;ADDRESS(ROW(),COLUMN(),4),L!$A:$A,0)-1,SL,,)</f>
        <v>G. 此问题是要披露公司是否受 SEC 规则规限。请以“是”或“否”来回答此问题。须在问题注释字段提供说明。此问题必须作答。要了解更多信息，请参见 www.sec.gov。</v>
      </c>
      <c r="B45" s="114" t="s">
        <v>1328</v>
      </c>
    </row>
    <row r="46" spans="1:2" ht="69.599999999999994" customHeight="1">
      <c r="A46" s="121"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v>
      </c>
      <c r="B46" s="114" t="s">
        <v>1327</v>
      </c>
    </row>
    <row r="47" spans="1:2" ht="15">
      <c r="A47" s="125"/>
      <c r="B47" s="114"/>
    </row>
    <row r="48" spans="1:2" ht="30">
      <c r="A48" s="124" t="str">
        <f ca="1">OFFSET(L!$C$1,MATCH("Instructions"&amp;ADDRESS(ROW(),COLUMN(),4),L!$A:$A,0)-1,SL,,)</f>
        <v>冶炼厂列表选项卡的填写说明。请仅以英文作答</v>
      </c>
      <c r="B48" s="114" t="s">
        <v>1327</v>
      </c>
    </row>
    <row r="49" spans="1:2" ht="22.5" customHeight="1">
      <c r="A49" s="294" t="str">
        <f ca="1">OFFSET(L!$C$1,MATCH("Instructions"&amp;ADDRESS(ROW(),COLUMN(),4),L!$A:$A,0)-1,SL,,)</f>
        <v>注：带星号 (*) 列表示必填字段。</v>
      </c>
      <c r="B49" s="114"/>
    </row>
    <row r="50" spans="1:2" ht="60">
      <c r="A50" s="121" t="str">
        <f ca="1">OFFSET(L!$C$1,MATCH("Instructions"&amp;ADDRESS(ROW(),COLUMN(),4),L!$A:$A,0)-1,SL,,)</f>
        <v>此模板允许使用冶炼厂查找来识别具体的冶炼厂。必须按从左到右的顺序填写 B 列和 C 列，以使用冶炼厂查找功能。_x000D_
对于各金属/冶炼厂/国家或地区组合，应使用分割线。</v>
      </c>
      <c r="B50" s="114" t="s">
        <v>1326</v>
      </c>
    </row>
    <row r="51" spans="1:2" ht="30">
      <c r="A51" s="121" t="str">
        <f ca="1">OFFSET(L!$C$1,MATCH("Instructions"&amp;ADDRESS(ROW(),COLUMN(),4),L!$A:$A,0)-1,SL,,)</f>
        <v>1. 冶炼厂识别输入列 - 如果您知道冶炼厂识别号码，请在 A 列输入号码（B、C、E、F、G、I 和 J 列将自动填入）。A 列不会自动填入。</v>
      </c>
      <c r="B51" s="114" t="s">
        <v>1327</v>
      </c>
    </row>
    <row r="52" spans="1:2" ht="15">
      <c r="A52" s="121" t="str">
        <f ca="1">OFFSET(L!$C$1,MATCH("Instructions"&amp;ADDRESS(ROW(),COLUMN(),4),L!$A:$A,0)-1,SL,,)</f>
        <v>2. 金属 (*) - 在下拉菜单中，选择正在输入信息的冶炼厂所提炼的金属。 此为必填字段。</v>
      </c>
      <c r="B52" s="114"/>
    </row>
    <row r="53" spans="1:2" ht="45">
      <c r="A53" s="189"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114" t="s">
        <v>1327</v>
      </c>
    </row>
    <row r="54" spans="1:2" ht="60">
      <c r="A54" s="121" t="str">
        <f ca="1">OFFSET(L!$C$1,MATCH("Instructions"&amp;ADDRESS(ROW(),COLUMN(),4),L!$A:$A,0)-1,SL,,)</f>
        <v>4. 冶炼厂名称 (1) - 如果选择 C 列中的冶炼厂名称，请填写冶炼厂的名称。如果选择 C 列中的“冶炼厂未列出”，此字段将自动填入。此为必填字段。</v>
      </c>
      <c r="B54" s="114" t="s">
        <v>1326</v>
      </c>
    </row>
    <row r="55" spans="1:2" ht="75">
      <c r="A55" s="121"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114" t="s">
        <v>1332</v>
      </c>
    </row>
    <row r="56" spans="1:2" ht="60">
      <c r="A56" s="121"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6" s="114" t="s">
        <v>1326</v>
      </c>
    </row>
    <row r="57" spans="1:2" ht="60">
      <c r="A57" s="121" t="str">
        <f ca="1">OFFSET(L!$C$1,MATCH("Instructions"&amp;ADDRESS(ROW(),COLUMN(),4),L!$A:$A,0)-1,SL,,)</f>
        <v xml:space="preserve">7. 冶炼厂识别号码 - F 列包括所有的冶炼厂识别号码。 如果在 C 列中使用下拉框选择冶炼厂名称，此字段会自动填入。 </v>
      </c>
      <c r="B57" s="114" t="s">
        <v>1326</v>
      </c>
    </row>
    <row r="58" spans="1:2" ht="60">
      <c r="A58" s="121" t="str">
        <f ca="1">OFFSET(L!$C$1,MATCH("Instructions"&amp;ADDRESS(ROW(),COLUMN(),4),L!$A:$A,0)-1,SL,,)</f>
        <v>8. 冶炼厂所在街道 - 提供冶炼厂所在街道的名称。此为选填字段。</v>
      </c>
      <c r="B58" s="114" t="s">
        <v>1326</v>
      </c>
    </row>
    <row r="59" spans="1:2" ht="30">
      <c r="A59" s="121" t="str">
        <f ca="1">OFFSET(L!$C$1,MATCH("Instructions"&amp;ADDRESS(ROW(),COLUMN(),4),L!$A:$A,0)-1,SL,,)</f>
        <v>9. 冶炼厂所在城市 - 提供冶炼厂所在城市的名称。此为选填字段。</v>
      </c>
      <c r="B59" s="114" t="s">
        <v>1327</v>
      </c>
    </row>
    <row r="60" spans="1:2" ht="45" customHeight="1">
      <c r="A60" s="121" t="str">
        <f ca="1">OFFSET(L!$C$1,MATCH("Instructions"&amp;ADDRESS(ROW(),COLUMN(),4),L!$A:$A,0)-1,SL,,)</f>
        <v>10. 冶炼厂地点：州/省（如适用）- 提供冶炼厂所在的州/省。此为选填字段。</v>
      </c>
      <c r="B60" s="114" t="s">
        <v>1330</v>
      </c>
    </row>
    <row r="61" spans="1:2" ht="105">
      <c r="A61" s="121"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v>
      </c>
      <c r="B61" s="114" t="s">
        <v>1330</v>
      </c>
    </row>
    <row r="62" spans="1:2" ht="60">
      <c r="A62" s="121" t="str">
        <f ca="1">OFFSET(L!$C$1,MATCH("Instructions"&amp;ADDRESS(ROW(),COLUMN(),4),L!$A:$A,0)-1,SL,,)</f>
        <v xml:space="preserve">12. 冶炼厂联系人电子邮件 - 填写被确定为冶炼厂联系人的电子邮件。例如： John.Smith@SmelterXXX.com。填写此字段栏前，请阅读冶炼厂联系人姓名填写指引。 </v>
      </c>
      <c r="B62" s="114" t="s">
        <v>1326</v>
      </c>
    </row>
    <row r="63" spans="1:2" ht="75">
      <c r="A63" s="121"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v>
      </c>
      <c r="B63" s="114" t="s">
        <v>1326</v>
      </c>
    </row>
    <row r="64" spans="1:2" ht="75">
      <c r="A64" s="121"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v>
      </c>
      <c r="B64" s="114"/>
    </row>
    <row r="65" spans="1:2" ht="75">
      <c r="A65" s="121" t="str">
        <f ca="1">OFFSET(L!$C$1,MATCH("Instructions"&amp;ADDRESS(ROW(),COLUMN(),4),L!$A:$A,0)-1,SL,,)</f>
        <v>15. 表明冶炼厂是否仅从回收料或报废料资源中获取冶炼过程的来料。此为选答问题。本问题允许的回答包括：_x000D_
_x000D_
- 是_x000D_
- 否_x000D_
- 未知</v>
      </c>
      <c r="B65" s="114"/>
    </row>
    <row r="66" spans="1:2" ht="110.25" customHeight="1">
      <c r="A66" s="121" t="str">
        <f ca="1">OFFSET(L!$C$1,MATCH("Instructions"&amp;ADDRESS(ROW(),COLUMN(),4),L!$A:$A,0)-1,SL,,)</f>
        <v>16. 注释 - 无格式限制的文字栏，可输入有关冶炼厂的任何意见。例如：冶炼厂正在被 YYY 公司收购</v>
      </c>
      <c r="B66" s="114"/>
    </row>
    <row r="67" spans="1:2" s="28" customFormat="1" ht="15">
      <c r="A67" s="126"/>
      <c r="B67" s="114"/>
    </row>
    <row r="68" spans="1:2" s="28" customFormat="1" ht="34.5" customHeight="1">
      <c r="A68" s="124" t="str">
        <f ca="1">OFFSET(L!$C$1,MATCH("Instructions"&amp;ADDRESS(ROW(),COLUMN(),4),L!$A:$A,0)-1,SL,,)</f>
        <v>条款及细则</v>
      </c>
      <c r="B68" s="114"/>
    </row>
    <row r="69" spans="1:2" s="28" customFormat="1" ht="15">
      <c r="A69" s="126"/>
      <c r="B69" s="114"/>
    </row>
    <row r="70" spans="1:2" ht="45">
      <c r="A70" s="124" t="str">
        <f ca="1">OFFSET(L!$C$1,MATCH("Instructions"&amp;ADDRESS(ROW(),COLUMN(),4),L!$A:$A,0)-1,SL,,)</f>
        <v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v>
      </c>
      <c r="B70" s="114" t="s">
        <v>1327</v>
      </c>
    </row>
    <row r="71" spans="1:2" ht="93.6" customHeight="1">
      <c r="A71" s="294"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v>
      </c>
      <c r="B71" s="114" t="s">
        <v>1333</v>
      </c>
    </row>
    <row r="72" spans="1:2" ht="90">
      <c r="A72" s="294"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v>
      </c>
      <c r="B72" s="114" t="s">
        <v>1331</v>
      </c>
    </row>
    <row r="73" spans="1:2" ht="75">
      <c r="A73" s="294"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114" t="s">
        <v>1332</v>
      </c>
    </row>
    <row r="74" spans="1:2" ht="30">
      <c r="A74" s="121"/>
      <c r="B74" s="114" t="s">
        <v>451</v>
      </c>
    </row>
    <row r="75" spans="1:2" ht="15">
      <c r="A75" s="121" t="str">
        <f ca="1">OFFSET(L!$C$1,MATCH("General"&amp;"Cpy",L!$A:$A,0)-1,SL,,)</f>
        <v>© 2020 Responsible Minerals Initiative。保留所有权利。</v>
      </c>
      <c r="B75" s="115"/>
    </row>
    <row r="76" spans="1:2" ht="15">
      <c r="A76" s="122" t="s">
        <v>1058</v>
      </c>
      <c r="B76" s="115"/>
    </row>
    <row r="77" spans="1:2" ht="15.75" thickBot="1">
      <c r="A77" s="169" t="s">
        <v>15504</v>
      </c>
    </row>
  </sheetData>
  <sheetProtection algorithmName="SHA-512" hashValue="N7PgLK/b6qSiRuYP6IJLKKaehwHeb2EDWc30L70AJshd7Eh0gJlg69QmEgS1UyLI/0APEgOkC1FmRYjugKO/ww==" saltValue="w7I/A/hb6qUhO8umuFiG7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7"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96"/>
      <c r="B1" s="397"/>
      <c r="C1" s="397"/>
      <c r="D1" s="398"/>
    </row>
    <row r="2" spans="1:5" ht="71.25" customHeight="1">
      <c r="A2" s="87"/>
      <c r="B2" s="167">
        <f ca="1">OFFSET(L!$C$1,MATCH("Definitions"&amp;ADDRESS(ROW(),COLUMN(),4),L!$A:$A,0)-1,SL,,)</f>
        <v>0</v>
      </c>
      <c r="C2" s="167">
        <f ca="1">OFFSET(L!$C$1,MATCH("Definitions"&amp;ADDRESS(ROW(),COLUMN(),4),L!$A:$A,0)-1,SL,,)</f>
        <v>0</v>
      </c>
      <c r="D2" s="400"/>
      <c r="E2" s="127"/>
    </row>
    <row r="3" spans="1:5" ht="63.95" customHeight="1">
      <c r="A3" s="87"/>
      <c r="B3" s="74" t="str">
        <f ca="1">OFFSET(L!$C$1,MATCH("Definitions"&amp;ADDRESS(ROW(),COLUMN(),4),L!$A:$A,0)-1,SL,,)</f>
        <v>3TG 是钽 (Tantalum)、锡 (Tin)、钨 (Tungsten)、金 (Gold) 的缩写</v>
      </c>
      <c r="C3" s="74" t="str">
        <f ca="1">OFFSET(L!$C$1,MATCH("Definitions"&amp;ADDRESS(ROW(),COLUMN(),4),L!$A:$A,0)-1,SL,,)</f>
        <v>钽、锡、钨、金</v>
      </c>
      <c r="D3" s="400"/>
      <c r="E3" s="128" t="s">
        <v>1335</v>
      </c>
    </row>
    <row r="4" spans="1:5" ht="63.75" customHeight="1">
      <c r="A4" s="87"/>
      <c r="B4" s="74">
        <f ca="1">OFFSET(L!$C$1,MATCH("Definitions"&amp;ADDRESS(ROW(),COLUMN(),4),L!$A:$A,0)-1,SL,,)</f>
        <v>0</v>
      </c>
      <c r="C4" s="74" t="str">
        <f ca="1">OFFSET(L!$C$1,MATCH("Definitions"&amp;ADDRESS(ROW(),COLUMN(),4),L!$A:$A,0)-1,SL,,)</f>
        <v xml:space="preserve">此字段定义负责申报内容的人员。授权人可能与联络人不同。请勿填写“相同”或相似信息，需提供授权人的姓名。 </v>
      </c>
      <c r="D4" s="400"/>
      <c r="E4" s="128"/>
    </row>
    <row r="5" spans="1:5" ht="64.5" customHeight="1">
      <c r="A5" s="87"/>
      <c r="B5" s="74" t="str">
        <f ca="1">OFFSET(L!$C$1,MATCH("Definitions"&amp;ADDRESS(ROW(),COLUMN(),4),L!$A:$A,0)-1,SL,,)</f>
        <v>受冲突影响和高风险地区 (CAHRA)</v>
      </c>
      <c r="C5" s="74"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400"/>
      <c r="E5" s="128"/>
    </row>
    <row r="6" spans="1:5" ht="75">
      <c r="A6" s="87"/>
      <c r="B6" s="74" t="str">
        <f ca="1">OFFSET(L!$C$1,MATCH("Definitions"&amp;ADDRESS(ROW(),COLUMN(),4),L!$A:$A,0)-1,SL,,)</f>
        <v xml:space="preserve">冲突矿产 </v>
      </c>
      <c r="C6" s="74"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400"/>
      <c r="E6" s="128" t="s">
        <v>1336</v>
      </c>
    </row>
    <row r="7" spans="1:5" ht="75" customHeight="1">
      <c r="A7" s="87"/>
      <c r="B7" s="74" t="str">
        <f ca="1">OFFSET(L!$C$1,MATCH("Definitions"&amp;ADDRESS(ROW(),COLUMN(),4),L!$A:$A,0)-1,SL,,)</f>
        <v>指明国家或地区</v>
      </c>
      <c r="C7" s="74"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400"/>
      <c r="E7" s="128" t="s">
        <v>1336</v>
      </c>
    </row>
    <row r="8" spans="1:5" ht="135">
      <c r="A8" s="87"/>
      <c r="B8" s="74" t="str">
        <f ca="1">OFFSET(L!$C$1,MATCH("Definitions"&amp;ADDRESS(ROW(),COLUMN(),4),L!$A:$A,0)-1,SL,,)</f>
        <v xml:space="preserve">申报范围或种类 </v>
      </c>
      <c r="C8" s="74"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400"/>
      <c r="E8" s="128" t="s">
        <v>1339</v>
      </c>
    </row>
    <row r="9" spans="1:5" ht="60">
      <c r="A9" s="87"/>
      <c r="B9" s="74" t="str">
        <f ca="1">OFFSET(L!$C$1,MATCH("Definitions"&amp;ADDRESS(ROW(),COLUMN(),4),L!$A:$A,0)-1,SL,,)</f>
        <v>多德-弗兰克</v>
      </c>
      <c r="C9" s="74"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400"/>
      <c r="E9" s="128" t="s">
        <v>1336</v>
      </c>
    </row>
    <row r="10" spans="1:5" ht="45">
      <c r="A10" s="87"/>
      <c r="B10" s="74" t="str">
        <f ca="1">OFFSET(L!$C$1,MATCH("Definitions"&amp;ADDRESS(ROW(),COLUMN(),4),L!$A:$A,0)-1,SL,,)</f>
        <v>刚果民主共和国</v>
      </c>
      <c r="C10" s="74" t="str">
        <f ca="1">OFFSET(L!$C$1,MATCH("Definitions"&amp;ADDRESS(ROW(),COLUMN(),4),L!$A:$A,0)-1,SL,,)</f>
        <v>刚果民主共和国</v>
      </c>
      <c r="D10" s="400"/>
      <c r="E10" s="128" t="s">
        <v>1335</v>
      </c>
    </row>
    <row r="11" spans="1:5" ht="45" hidden="1">
      <c r="A11" s="87"/>
      <c r="B11" s="74" t="str">
        <f ca="1">OFFSET(L!$C$1,MATCH("Definitions"&amp;ADDRESS(ROW(),COLUMN(),4),L!$A:$A,0)-1,SL,,)</f>
        <v>刚果民主共和国无冲突的冲突矿产</v>
      </c>
      <c r="C11" s="74"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400"/>
      <c r="E11" s="128" t="s">
        <v>1335</v>
      </c>
    </row>
    <row r="12" spans="1:5" ht="45">
      <c r="A12" s="87"/>
      <c r="B12" s="74" t="str">
        <f ca="1">OFFSET(L!$C$1,MATCH("Definitions"&amp;ADDRESS(ROW(),COLUMN(),4),L!$A:$A,0)-1,SL,,)</f>
        <v>金精炼厂（冶炼厂）</v>
      </c>
      <c r="C12" s="74" t="str">
        <f ca="1">OFFSET(L!$C$1,MATCH("Definitions"&amp;ADDRESS(ROW(),COLUMN(),4),L!$A:$A,0)-1,SL,,)</f>
        <v>金精炼是指一种从黄金和含金量低的物料中提炼出纯度达 99.5% 或更高的黄金的冶金操作。请参考负责任矿物审验流程中的审核标准，了解对这类型金属的完整描述：http://www.responsiblemineralsinitiative.org/smelter-introduction/。</v>
      </c>
      <c r="D12" s="400"/>
      <c r="E12" s="128" t="s">
        <v>1335</v>
      </c>
    </row>
    <row r="13" spans="1:5" ht="107.25" customHeight="1">
      <c r="A13" s="87"/>
      <c r="B13" s="74" t="str">
        <f ca="1">OFFSET(L!$C$1,MATCH("Definitions"&amp;ADDRESS(ROW(),COLUMN(),4),L!$A:$A,0)-1,SL,,)</f>
        <v>独立的第三方审核机构</v>
      </c>
      <c r="C13" s="74"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400"/>
      <c r="E13" s="128" t="s">
        <v>1337</v>
      </c>
    </row>
    <row r="14" spans="1:5" ht="303.75" customHeight="1">
      <c r="A14" s="87"/>
      <c r="B14" s="74" t="str">
        <f ca="1">OFFSET(L!$C$1,MATCH("Definitions"&amp;ADDRESS(ROW(),COLUMN(),4),L!$A:$A,0)-1,SL,,)</f>
        <v>有意添加</v>
      </c>
      <c r="C14" s="74" t="str">
        <f ca="1">OFFSET(L!$C$1,MATCH("Definitions"&amp;ADDRESS(ROW(),COLUMN(),4),L!$A:$A,0)-1,SL,,)</f>
        <v>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v>
      </c>
      <c r="D14" s="400"/>
      <c r="E14" s="128" t="s">
        <v>1335</v>
      </c>
    </row>
    <row r="15" spans="1:5" ht="75">
      <c r="A15" s="87"/>
      <c r="B15" s="74" t="str">
        <f ca="1">OFFSET(L!$C$1,MATCH("Definitions"&amp;ADDRESS(ROW(),COLUMN(),4),L!$A:$A,0)-1,SL,,)</f>
        <v>IPC</v>
      </c>
      <c r="C15" s="74"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400"/>
      <c r="E15" s="128" t="s">
        <v>1335</v>
      </c>
    </row>
    <row r="16" spans="1:5" ht="45">
      <c r="A16" s="87"/>
      <c r="B16" s="74" t="str">
        <f ca="1">OFFSET(L!$C$1,MATCH("Definitions"&amp;ADDRESS(ROW(),COLUMN(),4),L!$A:$A,0)-1,SL,,)</f>
        <v>IPC-1755 冲突矿产数据交换标准</v>
      </c>
      <c r="C16" s="74"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6" s="400"/>
      <c r="E16" s="128" t="s">
        <v>1335</v>
      </c>
    </row>
    <row r="17" spans="1:5" ht="135">
      <c r="A17" s="87"/>
      <c r="B17" s="74" t="str">
        <f ca="1">OFFSET(L!$C$1,MATCH("Definitions"&amp;ADDRESS(ROW(),COLUMN(),4),L!$A:$A,0)-1,SL,,)</f>
        <v>产品功能需要</v>
      </c>
      <c r="C17" s="74"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v>
      </c>
      <c r="D17" s="400"/>
      <c r="E17" s="128" t="s">
        <v>1335</v>
      </c>
    </row>
    <row r="18" spans="1:5" ht="90">
      <c r="A18" s="87"/>
      <c r="B18" s="74" t="str">
        <f ca="1">OFFSET(L!$C$1,MATCH("Definitions"&amp;ADDRESS(ROW(),COLUMN(),4),L!$A:$A,0)-1,SL,,)</f>
        <v>产品生产需要</v>
      </c>
      <c r="C18" s="74"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v>
      </c>
      <c r="D18" s="400"/>
      <c r="E18" s="128" t="s">
        <v>1335</v>
      </c>
    </row>
    <row r="19" spans="1:5" ht="60">
      <c r="A19" s="87"/>
      <c r="B19" s="74" t="str">
        <f ca="1">OFFSET(L!$C$1,MATCH("Definitions"&amp;ADDRESS(ROW(),COLUMN(),4),L!$A:$A,0)-1,SL,,)</f>
        <v>经济合作与发展组织（Organization for Economic Co-operation and Development，OECD）</v>
      </c>
      <c r="C19" s="74" t="str">
        <f ca="1">OFFSET(L!$C$1,MATCH("Definitions"&amp;ADDRESS(ROW(),COLUMN(),4),L!$A:$A,0)-1,SL,,)</f>
        <v>经济合作与发展组织</v>
      </c>
      <c r="D19" s="400"/>
      <c r="E19" s="128"/>
    </row>
    <row r="20" spans="1:5" ht="15">
      <c r="A20" s="87"/>
      <c r="B20" s="74" t="str">
        <f ca="1">OFFSET(L!$C$1,MATCH("Definitions"&amp;ADDRESS(ROW(),COLUMN(),4),L!$A:$A,0)-1,SL,,)</f>
        <v>产品</v>
      </c>
      <c r="C20" s="74" t="str">
        <f ca="1">OFFSET(L!$C$1,MATCH("Definitions"&amp;ADDRESS(ROW(),COLUMN(),4),L!$A:$A,0)-1,SL,,)</f>
        <v xml:space="preserve">公司的产品或成品是指在制造生产阶段或最后完成阶段的物料或物品，并且已可以交付或销售给客户。 </v>
      </c>
      <c r="D20" s="400"/>
      <c r="E20" s="128"/>
    </row>
    <row r="21" spans="1:5" ht="30">
      <c r="A21" s="87"/>
      <c r="B21" s="74" t="str">
        <f ca="1">OFFSET(L!$C$1,MATCH("Definitions"&amp;ADDRESS(ROW(),COLUMN(),4),L!$A:$A,0)-1,SL,,)</f>
        <v>责任商业联盟（Responsible Business Alliance，RBA）</v>
      </c>
      <c r="C21" s="74" t="str">
        <f ca="1">OFFSET(L!$C$1,MATCH("Definitions"&amp;ADDRESS(ROW(),COLUMN(),4),L!$A:$A,0)-1,SL,,)</f>
        <v>责任商业联盟 (www.responsiblebusiness.org)</v>
      </c>
      <c r="D21" s="400"/>
      <c r="E21" s="128"/>
    </row>
    <row r="22" spans="1:5" ht="106.5" customHeight="1">
      <c r="A22" s="87"/>
      <c r="B22" s="74" t="str">
        <f ca="1">OFFSET(L!$C$1,MATCH("Definitions"&amp;ADDRESS(ROW(),COLUMN(),4),L!$A:$A,0)-1,SL,,)</f>
        <v>回收或废料源</v>
      </c>
      <c r="C22" s="74"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400"/>
      <c r="E22" s="128"/>
    </row>
    <row r="23" spans="1:5" ht="45">
      <c r="A23" s="87"/>
      <c r="B23" s="74" t="str">
        <f ca="1">OFFSET(L!$C$1,MATCH("Definitions"&amp;ADDRESS(ROW(),COLUMN(),4),L!$A:$A,0)-1,SL,,)</f>
        <v>负责任矿物审验流程 (RMAP)</v>
      </c>
      <c r="C23" s="74"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400"/>
      <c r="E23" s="128"/>
    </row>
    <row r="24" spans="1:5" ht="168" customHeight="1">
      <c r="A24" s="87"/>
      <c r="B24" s="74" t="str">
        <f ca="1">OFFSET(L!$C$1,MATCH("Definitions"&amp;ADDRESS(ROW(),COLUMN(),4),L!$A:$A,0)-1,SL,,)</f>
        <v>负责任矿物计划</v>
      </c>
      <c r="C24" s="74"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400"/>
      <c r="E24" s="128"/>
    </row>
    <row r="25" spans="1:5" ht="75">
      <c r="A25" s="87"/>
      <c r="B25" s="74" t="str">
        <f ca="1">OFFSET(L!$C$1,MATCH("Definitions"&amp;ADDRESS(ROW(),COLUMN(),4),L!$A:$A,0)-1,SL,,)</f>
        <v>无冲突冶炼厂计划合规冶炼厂列表</v>
      </c>
      <c r="C25" s="74"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v>
      </c>
      <c r="D25" s="400"/>
      <c r="E25" s="128" t="s">
        <v>1335</v>
      </c>
    </row>
    <row r="26" spans="1:5" ht="75">
      <c r="A26" s="87"/>
      <c r="B26" s="74" t="str">
        <f ca="1">OFFSET(L!$C$1,MATCH("Definitions"&amp;ADDRESS(ROW(),COLUMN(),4),L!$A:$A,0)-1,SL,,)</f>
        <v>证券交易委员会 (SEC)</v>
      </c>
      <c r="C26" s="74" t="str">
        <f ca="1">OFFSET(L!$C$1,MATCH("Definitions"&amp;ADDRESS(ROW(),COLUMN(),4),L!$A:$A,0)-1,SL,,)</f>
        <v>美国证券交易委员会 (www.sec.gov)</v>
      </c>
      <c r="D26" s="400"/>
      <c r="E26" s="128" t="s">
        <v>1337</v>
      </c>
    </row>
    <row r="27" spans="1:5" ht="45">
      <c r="A27" s="87"/>
      <c r="B27" s="74" t="str">
        <f ca="1">OFFSET(L!$C$1,MATCH("Definitions"&amp;ADDRESS(ROW(),COLUMN(),4),L!$A:$A,0)-1,SL,,)</f>
        <v>冶炼厂</v>
      </c>
      <c r="C27" s="74"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400"/>
      <c r="E27" s="128" t="s">
        <v>1335</v>
      </c>
    </row>
    <row r="28" spans="1:5" ht="60">
      <c r="A28" s="87"/>
      <c r="B28" s="74" t="str">
        <f ca="1">OFFSET(L!$C$1,MATCH("Definitions"&amp;ADDRESS(ROW(),COLUMN(),4),L!$A:$A,0)-1,SL,,)</f>
        <v>冶炼厂识别序号</v>
      </c>
      <c r="C28" s="74"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400"/>
      <c r="E28" s="128" t="s">
        <v>1336</v>
      </c>
    </row>
    <row r="29" spans="1:5" ht="108" customHeight="1">
      <c r="A29" s="87"/>
      <c r="B29" s="74" t="str">
        <f ca="1">OFFSET(L!$C$1,MATCH("Definitions"&amp;ADDRESS(ROW(),COLUMN(),4),L!$A:$A,0)-1,SL,,)</f>
        <v>钽 (Ta) 冶炼厂</v>
      </c>
      <c r="C29" s="74"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v>
      </c>
      <c r="D29" s="400"/>
      <c r="E29" s="128" t="s">
        <v>1337</v>
      </c>
    </row>
    <row r="30" spans="1:5" ht="121.5" customHeight="1">
      <c r="A30" s="87"/>
      <c r="B30" s="74" t="str">
        <f ca="1">OFFSET(L!$C$1,MATCH("Definitions"&amp;ADDRESS(ROW(),COLUMN(),4),L!$A:$A,0)-1,SL,,)</f>
        <v>锡 (Sn) 冶炼厂</v>
      </c>
      <c r="C30" s="74"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v>
      </c>
      <c r="D30" s="400"/>
      <c r="E30" s="128" t="s">
        <v>1338</v>
      </c>
    </row>
    <row r="31" spans="1:5" ht="137.1" customHeight="1">
      <c r="A31" s="87"/>
      <c r="B31" s="74" t="str">
        <f ca="1">OFFSET(L!$C$1,MATCH("Definitions"&amp;ADDRESS(ROW(),COLUMN(),4),L!$A:$A,0)-1,SL,,)</f>
        <v>钨 (W) 冶炼厂</v>
      </c>
      <c r="C31" s="74"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v>
      </c>
      <c r="D31" s="400"/>
      <c r="E31" s="128"/>
    </row>
    <row r="32" spans="1:5" ht="15">
      <c r="A32" s="87"/>
      <c r="B32" s="399" t="str">
        <f ca="1">OFFSET(L!$C$1,MATCH("General"&amp;"Cpy",L!$A:$A,0)-1,SL,,)</f>
        <v>© 2020 Responsible Minerals Initiative。保留所有权利。</v>
      </c>
      <c r="C32" s="399"/>
      <c r="D32" s="400"/>
      <c r="E32" s="128"/>
    </row>
    <row r="33" spans="1:4" ht="13.5" thickBot="1">
      <c r="A33" s="88"/>
      <c r="B33" s="185"/>
      <c r="C33" s="185"/>
      <c r="D33" s="401"/>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7"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opLeftCell="D85" zoomScalePageLayoutView="70" workbookViewId="0">
      <selection activeCell="D19" sqref="D19:J1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36"/>
      <c r="B1" s="437"/>
      <c r="C1" s="437"/>
      <c r="D1" s="437"/>
      <c r="E1" s="437"/>
      <c r="F1" s="437"/>
      <c r="G1" s="437"/>
      <c r="H1" s="437"/>
      <c r="I1" s="437"/>
      <c r="J1" s="437"/>
      <c r="K1" s="43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39" t="str">
        <f ca="1">OFFSET(L!$C$1,MATCH("Declaration"&amp;ADDRESS(ROW(),COLUMN(),4),L!$A:$A,0)-1,SL,,)</f>
        <v>Conflict Minerals Reporting Template (CMRT)</v>
      </c>
      <c r="E2" s="440"/>
      <c r="F2" s="440"/>
      <c r="G2" s="440"/>
      <c r="H2" s="440"/>
      <c r="I2" s="440"/>
      <c r="J2" s="44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13632</v>
      </c>
      <c r="E3" s="12"/>
      <c r="F3" s="449"/>
      <c r="G3" s="449"/>
      <c r="H3" s="449"/>
      <c r="I3" s="184"/>
      <c r="J3" s="168" t="s">
        <v>15505</v>
      </c>
      <c r="K3" s="47"/>
      <c r="L3" s="139"/>
      <c r="M3" s="130"/>
      <c r="N3" s="130"/>
      <c r="O3" s="131"/>
      <c r="P3" s="144">
        <f>MATCH($D$3,LN,0)</f>
        <v>2</v>
      </c>
    </row>
    <row r="4" spans="1:34" ht="15.75">
      <c r="A4" s="45"/>
      <c r="B4" s="445" t="str">
        <f ca="1">OFFSET(L!$C$1,MATCH("Declaration"&amp;ADDRESS(ROW(),COLUMN(),4),L!$A:$A,0)-1,SL,,)</f>
        <v>此填写此报告的目的是收集在产品中所用锡、钽、钨、黄金等金属的采购信息。</v>
      </c>
      <c r="C4" s="445"/>
      <c r="D4" s="445"/>
      <c r="E4" s="445"/>
      <c r="F4" s="445"/>
      <c r="G4" s="445"/>
      <c r="H4" s="445"/>
      <c r="I4" s="450">
        <f ca="1">OFFSET(L!$C$1,MATCH("Declaration"&amp;ADDRESS(ROW(),COLUMN(),4),L!$A:$A,0)-1,SL,,)</f>
        <v>0</v>
      </c>
      <c r="J4" s="45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45" t="str">
        <f ca="1">OFFSET(L!$C$1,MATCH("Declaration"&amp;ADDRESS(ROW(),COLUMN(),4),L!$A:$A,0)-1,SL,,)</f>
        <v>必填字段标记为星号 (*)。参考说明选项卡，获取关于如何答复每个问题的指南。</v>
      </c>
      <c r="C6" s="445"/>
      <c r="D6" s="445"/>
      <c r="E6" s="445"/>
      <c r="F6" s="445"/>
      <c r="G6" s="445"/>
      <c r="H6" s="445"/>
      <c r="I6" s="445"/>
      <c r="J6" s="445"/>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54" t="str">
        <f ca="1">OFFSET(L!$C$1,MATCH("Declaration"&amp;ADDRESS(ROW(),COLUMN(),4),L!$A:$A,0)-1,SL,,)</f>
        <v>公司信息</v>
      </c>
      <c r="C7" s="454"/>
      <c r="D7" s="454"/>
      <c r="E7" s="454"/>
      <c r="F7" s="454"/>
      <c r="G7" s="454"/>
      <c r="H7" s="454"/>
      <c r="I7" s="454"/>
      <c r="J7" s="45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公司名称 (*)：</v>
      </c>
      <c r="C8" s="89"/>
      <c r="D8" s="442" t="s">
        <v>15525</v>
      </c>
      <c r="E8" s="443"/>
      <c r="F8" s="443"/>
      <c r="G8" s="443"/>
      <c r="H8" s="443"/>
      <c r="I8" s="443"/>
      <c r="J8" s="44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申报范围或种类 (*)：</v>
      </c>
      <c r="C9" s="89"/>
      <c r="D9" s="451" t="s">
        <v>504</v>
      </c>
      <c r="E9" s="452"/>
      <c r="F9" s="452"/>
      <c r="G9" s="453"/>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55" t="str">
        <f ca="1">OFFSET(L!$C$1,MATCH("Declaration"&amp;ADDRESS(ROW(),COLUMN(),4)&amp;LEFT($D$9,1),L!$A:$A,0)-1,SL,,)</f>
        <v>范围描述：</v>
      </c>
      <c r="C10" s="151"/>
      <c r="D10" s="446"/>
      <c r="E10" s="447"/>
      <c r="F10" s="447"/>
      <c r="G10" s="447"/>
      <c r="H10" s="447"/>
      <c r="I10" s="447"/>
      <c r="J10" s="44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56"/>
      <c r="C11" s="151"/>
      <c r="D11" s="417" t="str">
        <f ca="1">IF(D9=Q9,OFFSET(L!$C$1,MATCH("Declaration"&amp;ADDRESS(ROW(),COLUMN(),4),L!$A:$A,0)-1,SL,,),"")</f>
        <v/>
      </c>
      <c r="E11" s="418"/>
      <c r="F11" s="418"/>
      <c r="G11" s="418"/>
      <c r="H11" s="418"/>
      <c r="I11" s="418"/>
      <c r="J11" s="419"/>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 xml:space="preserve">公司唯一识别信息： </v>
      </c>
      <c r="C12" s="90"/>
      <c r="D12" s="426"/>
      <c r="E12" s="427"/>
      <c r="F12" s="427"/>
      <c r="G12" s="427"/>
      <c r="H12" s="427"/>
      <c r="I12" s="427"/>
      <c r="J12" s="428"/>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公司唯一授权识别信息：</v>
      </c>
      <c r="C13" s="90"/>
      <c r="D13" s="426"/>
      <c r="E13" s="427"/>
      <c r="F13" s="427"/>
      <c r="G13" s="427"/>
      <c r="H13" s="427"/>
      <c r="I13" s="427"/>
      <c r="J13" s="428"/>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地址：</v>
      </c>
      <c r="C14" s="90"/>
      <c r="D14" s="429" t="s">
        <v>15526</v>
      </c>
      <c r="E14" s="430"/>
      <c r="F14" s="430"/>
      <c r="G14" s="430"/>
      <c r="H14" s="430"/>
      <c r="I14" s="430"/>
      <c r="J14" s="431"/>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联系人姓名 (*)：</v>
      </c>
      <c r="C15" s="90"/>
      <c r="D15" s="429" t="s">
        <v>15527</v>
      </c>
      <c r="E15" s="430"/>
      <c r="F15" s="430"/>
      <c r="G15" s="430"/>
      <c r="H15" s="430"/>
      <c r="I15" s="430"/>
      <c r="J15" s="431"/>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电子邮件 - 联系人 (*)：</v>
      </c>
      <c r="C16" s="90"/>
      <c r="D16" s="457" t="s">
        <v>15528</v>
      </c>
      <c r="E16" s="458"/>
      <c r="F16" s="458"/>
      <c r="G16" s="458"/>
      <c r="H16" s="458"/>
      <c r="I16" s="458"/>
      <c r="J16" s="45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电话 - 联系人 (*)：</v>
      </c>
      <c r="C17" s="90"/>
      <c r="D17" s="429" t="s">
        <v>15529</v>
      </c>
      <c r="E17" s="430"/>
      <c r="F17" s="430"/>
      <c r="G17" s="430"/>
      <c r="H17" s="430"/>
      <c r="I17" s="430"/>
      <c r="J17" s="431"/>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授权人 (*)：</v>
      </c>
      <c r="C18" s="90"/>
      <c r="D18" s="429" t="s">
        <v>15530</v>
      </c>
      <c r="E18" s="430"/>
      <c r="F18" s="430"/>
      <c r="G18" s="430"/>
      <c r="H18" s="430"/>
      <c r="I18" s="430"/>
      <c r="J18" s="431"/>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职务 - 授权人：</v>
      </c>
      <c r="C19" s="90"/>
      <c r="D19" s="429" t="s">
        <v>15531</v>
      </c>
      <c r="E19" s="430"/>
      <c r="F19" s="430"/>
      <c r="G19" s="430"/>
      <c r="H19" s="430"/>
      <c r="I19" s="430"/>
      <c r="J19" s="431"/>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电子邮件 - 授权人 (*)：</v>
      </c>
      <c r="C20" s="90"/>
      <c r="D20" s="460" t="s">
        <v>15528</v>
      </c>
      <c r="E20" s="458"/>
      <c r="F20" s="458"/>
      <c r="G20" s="458"/>
      <c r="H20" s="458"/>
      <c r="I20" s="458"/>
      <c r="J20" s="45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电话 - 授权人：</v>
      </c>
      <c r="C21" s="163"/>
      <c r="D21" s="429" t="s">
        <v>15529</v>
      </c>
      <c r="E21" s="430"/>
      <c r="F21" s="430"/>
      <c r="G21" s="430"/>
      <c r="H21" s="430"/>
      <c r="I21" s="430"/>
      <c r="J21" s="43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生效日期 (*)：</v>
      </c>
      <c r="C22" s="91"/>
      <c r="D22" s="461">
        <v>43976</v>
      </c>
      <c r="E22" s="462"/>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2"/>
      <c r="E23" s="43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63" t="str">
        <f ca="1">OFFSET(L!$C$1,MATCH("Declaration"&amp;ADDRESS(ROW(),COLUMN(),4),L!$A:$A,0)-1,SL,,)</f>
        <v>根据上述申报范围，回答以下 1 至 8 题</v>
      </c>
      <c r="C24" s="463"/>
      <c r="D24" s="463"/>
      <c r="E24" s="463"/>
      <c r="F24" s="463"/>
      <c r="G24" s="463"/>
      <c r="H24" s="463"/>
      <c r="I24" s="463"/>
      <c r="J24" s="463"/>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是否在产品或生产流程中有意添加或使用任何 3TG？(*)</v>
      </c>
      <c r="C25" s="20"/>
      <c r="D25" s="416" t="str">
        <f ca="1">OFFSET(L!$C$1,MATCH("Declaration"&amp;ADDRESS(ROW(),COLUMN(),4),L!$A:$A,0)-1,SL,,)</f>
        <v>回答</v>
      </c>
      <c r="E25" s="416"/>
      <c r="F25" s="21"/>
      <c r="G25" s="55" t="str">
        <f ca="1">OFFSET(L!$C$1,MATCH("Declaration"&amp;ADDRESS(ROW(),COLUMN(),4),L!$A:$A,0)-1,SL,,)</f>
        <v>注释</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钽</v>
      </c>
      <c r="C26" s="46"/>
      <c r="D26" s="402" t="s">
        <v>499</v>
      </c>
      <c r="E26" s="403"/>
      <c r="F26" s="15"/>
      <c r="G26" s="404"/>
      <c r="H26" s="405"/>
      <c r="I26" s="405"/>
      <c r="J26" s="406"/>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锡(*)</v>
      </c>
      <c r="C27" s="46"/>
      <c r="D27" s="402" t="s">
        <v>498</v>
      </c>
      <c r="E27" s="403"/>
      <c r="F27" s="15"/>
      <c r="G27" s="404"/>
      <c r="H27" s="405"/>
      <c r="I27" s="405"/>
      <c r="J27" s="406"/>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金(*)</v>
      </c>
      <c r="C28" s="46"/>
      <c r="D28" s="402" t="s">
        <v>498</v>
      </c>
      <c r="E28" s="403"/>
      <c r="F28" s="15"/>
      <c r="G28" s="404"/>
      <c r="H28" s="405"/>
      <c r="I28" s="405"/>
      <c r="J28" s="406"/>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钨</v>
      </c>
      <c r="C29" s="46"/>
      <c r="D29" s="402" t="s">
        <v>499</v>
      </c>
      <c r="E29" s="403"/>
      <c r="F29" s="15"/>
      <c r="G29" s="404"/>
      <c r="H29" s="405"/>
      <c r="I29" s="405"/>
      <c r="J29" s="406"/>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是否有任何 3TG 仍存在于产品中？ (*)</v>
      </c>
      <c r="C31" s="13"/>
      <c r="D31" s="422" t="str">
        <f ca="1">D25</f>
        <v>回答</v>
      </c>
      <c r="E31" s="422"/>
      <c r="F31" s="21"/>
      <c r="G31" s="55" t="str">
        <f ca="1">G25</f>
        <v>注释</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钽</v>
      </c>
      <c r="C32" s="13"/>
      <c r="D32" s="420"/>
      <c r="E32" s="421"/>
      <c r="F32" s="58"/>
      <c r="G32" s="404"/>
      <c r="H32" s="405"/>
      <c r="I32" s="405"/>
      <c r="J32" s="406"/>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锡(*)</v>
      </c>
      <c r="C33" s="13"/>
      <c r="D33" s="402" t="s">
        <v>498</v>
      </c>
      <c r="E33" s="403"/>
      <c r="F33" s="58"/>
      <c r="G33" s="404"/>
      <c r="H33" s="405"/>
      <c r="I33" s="405"/>
      <c r="J33" s="406"/>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金(*)</v>
      </c>
      <c r="C34" s="13"/>
      <c r="D34" s="402" t="s">
        <v>498</v>
      </c>
      <c r="E34" s="403"/>
      <c r="F34" s="58"/>
      <c r="G34" s="404"/>
      <c r="H34" s="405"/>
      <c r="I34" s="405"/>
      <c r="J34" s="406"/>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钨</v>
      </c>
      <c r="C35" s="13"/>
      <c r="D35" s="402"/>
      <c r="E35" s="403"/>
      <c r="F35" s="58"/>
      <c r="G35" s="404"/>
      <c r="H35" s="405"/>
      <c r="I35" s="405"/>
      <c r="J35" s="406"/>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贵公司供应链中的冶炼厂是否从所指明的国家采购 3TG？（有关术语“SEC”，请参见定义选项卡） (*)</v>
      </c>
      <c r="C37" s="13"/>
      <c r="D37" s="422" t="str">
        <f ca="1">D25</f>
        <v>回答</v>
      </c>
      <c r="E37" s="422"/>
      <c r="F37" s="21"/>
      <c r="G37" s="55" t="str">
        <f ca="1">G25</f>
        <v>注释</v>
      </c>
      <c r="H37" s="425"/>
      <c r="I37" s="425"/>
      <c r="J37" s="425"/>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钽</v>
      </c>
      <c r="C38" s="13"/>
      <c r="D38" s="402"/>
      <c r="E38" s="403"/>
      <c r="F38" s="58"/>
      <c r="G38" s="404"/>
      <c r="H38" s="405"/>
      <c r="I38" s="405"/>
      <c r="J38" s="406"/>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锡(*)</v>
      </c>
      <c r="C39" s="13"/>
      <c r="D39" s="402" t="s">
        <v>499</v>
      </c>
      <c r="E39" s="403"/>
      <c r="F39" s="58"/>
      <c r="G39" s="404"/>
      <c r="H39" s="405"/>
      <c r="I39" s="405"/>
      <c r="J39" s="406"/>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金(*)</v>
      </c>
      <c r="C40" s="13"/>
      <c r="D40" s="402" t="s">
        <v>499</v>
      </c>
      <c r="E40" s="403"/>
      <c r="F40" s="58"/>
      <c r="G40" s="404"/>
      <c r="H40" s="405"/>
      <c r="I40" s="405"/>
      <c r="J40" s="406"/>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钨</v>
      </c>
      <c r="C41" s="13"/>
      <c r="D41" s="402"/>
      <c r="E41" s="403"/>
      <c r="F41" s="58"/>
      <c r="G41" s="404"/>
      <c r="H41" s="405"/>
      <c r="I41" s="405"/>
      <c r="J41" s="406"/>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贵公司供应链中是否有冶炼厂从受冲突影响和高风险地区_x000D_
采购 3TG？ (*)</v>
      </c>
      <c r="C43" s="13"/>
      <c r="D43" s="422" t="str">
        <f ca="1">D25</f>
        <v>回答</v>
      </c>
      <c r="E43" s="422"/>
      <c r="F43" s="21"/>
      <c r="G43" s="55" t="str">
        <f ca="1">G25</f>
        <v>注释</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钽</v>
      </c>
      <c r="C44" s="13"/>
      <c r="D44" s="402"/>
      <c r="E44" s="403"/>
      <c r="F44" s="58"/>
      <c r="G44" s="404"/>
      <c r="H44" s="405"/>
      <c r="I44" s="405"/>
      <c r="J44" s="406"/>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锡(*)</v>
      </c>
      <c r="C45" s="13"/>
      <c r="D45" s="402" t="s">
        <v>499</v>
      </c>
      <c r="E45" s="403"/>
      <c r="F45" s="58"/>
      <c r="G45" s="404"/>
      <c r="H45" s="405"/>
      <c r="I45" s="405"/>
      <c r="J45" s="406"/>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金(*)</v>
      </c>
      <c r="C46" s="13"/>
      <c r="D46" s="402" t="s">
        <v>499</v>
      </c>
      <c r="E46" s="403"/>
      <c r="F46" s="58"/>
      <c r="G46" s="404"/>
      <c r="H46" s="405"/>
      <c r="I46" s="405"/>
      <c r="J46" s="406"/>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钨</v>
      </c>
      <c r="C47" s="13"/>
      <c r="D47" s="402"/>
      <c r="E47" s="403"/>
      <c r="F47" s="58"/>
      <c r="G47" s="404"/>
      <c r="H47" s="405"/>
      <c r="I47" s="405"/>
      <c r="J47" s="406"/>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是否 100% 的 3TG（因产品功能或生产而必须使用）来自于回收料或报废料？ (*)</v>
      </c>
      <c r="C49" s="13"/>
      <c r="D49" s="422" t="str">
        <f ca="1">D25</f>
        <v>回答</v>
      </c>
      <c r="E49" s="422"/>
      <c r="F49" s="21"/>
      <c r="G49" s="55" t="str">
        <f ca="1">G25</f>
        <v>注释</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钽</v>
      </c>
      <c r="C50" s="13"/>
      <c r="D50" s="402"/>
      <c r="E50" s="403"/>
      <c r="F50" s="58"/>
      <c r="G50" s="404"/>
      <c r="H50" s="405"/>
      <c r="I50" s="405"/>
      <c r="J50" s="406"/>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锡(*)</v>
      </c>
      <c r="C51" s="13"/>
      <c r="D51" s="402" t="s">
        <v>499</v>
      </c>
      <c r="E51" s="403"/>
      <c r="F51" s="58"/>
      <c r="G51" s="404"/>
      <c r="H51" s="405"/>
      <c r="I51" s="405"/>
      <c r="J51" s="406"/>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金(*)</v>
      </c>
      <c r="C52" s="13"/>
      <c r="D52" s="402" t="s">
        <v>499</v>
      </c>
      <c r="E52" s="403"/>
      <c r="F52" s="58"/>
      <c r="G52" s="404"/>
      <c r="H52" s="405"/>
      <c r="I52" s="405"/>
      <c r="J52" s="406"/>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钨</v>
      </c>
      <c r="C53" s="13"/>
      <c r="D53" s="402"/>
      <c r="E53" s="403"/>
      <c r="F53" s="58"/>
      <c r="G53" s="404"/>
      <c r="H53" s="405"/>
      <c r="I53" s="405"/>
      <c r="J53" s="406"/>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已对贵公司供应链调查提供答复的相关供应商百分比是多少？ (*)</v>
      </c>
      <c r="C55" s="13"/>
      <c r="D55" s="422" t="str">
        <f ca="1">D25</f>
        <v>回答</v>
      </c>
      <c r="E55" s="422"/>
      <c r="F55" s="21"/>
      <c r="G55" s="55" t="str">
        <f ca="1">G25</f>
        <v>注释</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钽</v>
      </c>
      <c r="C56" s="46"/>
      <c r="D56" s="423"/>
      <c r="E56" s="424"/>
      <c r="F56" s="58"/>
      <c r="G56" s="404"/>
      <c r="H56" s="405"/>
      <c r="I56" s="405"/>
      <c r="J56" s="406"/>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锡(*)</v>
      </c>
      <c r="C57" s="46"/>
      <c r="D57" s="423">
        <v>1</v>
      </c>
      <c r="E57" s="424"/>
      <c r="F57" s="58"/>
      <c r="G57" s="404"/>
      <c r="H57" s="405"/>
      <c r="I57" s="405"/>
      <c r="J57" s="406"/>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金(*)</v>
      </c>
      <c r="C58" s="46"/>
      <c r="D58" s="423">
        <v>1</v>
      </c>
      <c r="E58" s="424"/>
      <c r="F58" s="58"/>
      <c r="G58" s="404"/>
      <c r="H58" s="405"/>
      <c r="I58" s="405"/>
      <c r="J58" s="406"/>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钨</v>
      </c>
      <c r="C59" s="46"/>
      <c r="D59" s="423"/>
      <c r="E59" s="424"/>
      <c r="F59" s="58"/>
      <c r="G59" s="404"/>
      <c r="H59" s="405"/>
      <c r="I59" s="405"/>
      <c r="J59" s="406"/>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您是否识别出为贵公司供应链供应 3TG 的所有冶炼厂？ (*)</v>
      </c>
      <c r="C61" s="13"/>
      <c r="D61" s="422" t="str">
        <f ca="1">D25</f>
        <v>回答</v>
      </c>
      <c r="E61" s="422"/>
      <c r="F61" s="21"/>
      <c r="G61" s="55" t="str">
        <f ca="1">G25</f>
        <v>注释</v>
      </c>
      <c r="H61" s="415"/>
      <c r="I61" s="415"/>
      <c r="J61" s="415"/>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钽</v>
      </c>
      <c r="C62" s="13"/>
      <c r="D62" s="420"/>
      <c r="E62" s="421"/>
      <c r="F62" s="58"/>
      <c r="G62" s="404"/>
      <c r="H62" s="405"/>
      <c r="I62" s="405"/>
      <c r="J62" s="406"/>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锡(*)</v>
      </c>
      <c r="C63" s="13"/>
      <c r="D63" s="402" t="s">
        <v>498</v>
      </c>
      <c r="E63" s="403"/>
      <c r="F63" s="58"/>
      <c r="G63" s="404"/>
      <c r="H63" s="405"/>
      <c r="I63" s="405"/>
      <c r="J63" s="406"/>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金(*)</v>
      </c>
      <c r="C64" s="13"/>
      <c r="D64" s="402" t="s">
        <v>498</v>
      </c>
      <c r="E64" s="403"/>
      <c r="F64" s="58"/>
      <c r="G64" s="404"/>
      <c r="H64" s="405"/>
      <c r="I64" s="405"/>
      <c r="J64" s="406"/>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钨</v>
      </c>
      <c r="C65" s="13"/>
      <c r="D65" s="402"/>
      <c r="E65" s="403"/>
      <c r="F65" s="58"/>
      <c r="G65" s="404"/>
      <c r="H65" s="405"/>
      <c r="I65" s="405"/>
      <c r="J65" s="406"/>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贵公司收到的所有适用冶炼厂信息是否已在此申报中报告？ (*)</v>
      </c>
      <c r="C67" s="13"/>
      <c r="D67" s="422" t="str">
        <f ca="1">D25</f>
        <v>回答</v>
      </c>
      <c r="E67" s="422"/>
      <c r="F67" s="21"/>
      <c r="G67" s="55" t="str">
        <f ca="1">G25</f>
        <v>注释</v>
      </c>
      <c r="H67" s="415" t="str">
        <f>IF(Q75="(*)","Click here to enter smelter names","")</f>
        <v/>
      </c>
      <c r="I67" s="415"/>
      <c r="J67" s="415"/>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钽</v>
      </c>
      <c r="C68" s="46"/>
      <c r="D68" s="402"/>
      <c r="E68" s="403"/>
      <c r="F68" s="59"/>
      <c r="G68" s="404"/>
      <c r="H68" s="405"/>
      <c r="I68" s="405"/>
      <c r="J68" s="406"/>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锡(*)</v>
      </c>
      <c r="C69" s="46"/>
      <c r="D69" s="402" t="s">
        <v>498</v>
      </c>
      <c r="E69" s="403"/>
      <c r="F69" s="59"/>
      <c r="G69" s="404"/>
      <c r="H69" s="405"/>
      <c r="I69" s="405"/>
      <c r="J69" s="406"/>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金(*)</v>
      </c>
      <c r="C70" s="46"/>
      <c r="D70" s="402" t="s">
        <v>498</v>
      </c>
      <c r="E70" s="403"/>
      <c r="F70" s="59"/>
      <c r="G70" s="404"/>
      <c r="H70" s="405"/>
      <c r="I70" s="405"/>
      <c r="J70" s="406"/>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钨</v>
      </c>
      <c r="C71" s="60"/>
      <c r="D71" s="402"/>
      <c r="E71" s="403"/>
      <c r="F71" s="61"/>
      <c r="G71" s="404"/>
      <c r="H71" s="405"/>
      <c r="I71" s="405"/>
      <c r="J71" s="406"/>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07" t="str">
        <f ca="1">OFFSET(L!$C$1,MATCH("Declaration"&amp;ADDRESS(ROW(),COLUMN(),4),L!$A:$A,0)-1,SL,,)</f>
        <v>从公司层面，回答以下问题</v>
      </c>
      <c r="C73" s="407"/>
      <c r="D73" s="407"/>
      <c r="E73" s="407"/>
      <c r="F73" s="407"/>
      <c r="G73" s="407"/>
      <c r="H73" s="407"/>
      <c r="I73" s="407"/>
      <c r="J73" s="407"/>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问题</v>
      </c>
      <c r="C74" s="94"/>
      <c r="D74" s="416" t="str">
        <f ca="1">D25</f>
        <v>回答</v>
      </c>
      <c r="E74" s="416"/>
      <c r="F74" s="64"/>
      <c r="G74" s="416" t="str">
        <f ca="1">G25</f>
        <v>注释</v>
      </c>
      <c r="H74" s="416" t="e">
        <f>HLOOKUP(SL,LT,$O74,0)</f>
        <v>#NAME?</v>
      </c>
      <c r="I74" s="416"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贵公司是否已制定负责任矿产采购政策？ (*)</v>
      </c>
      <c r="C75" s="68"/>
      <c r="D75" s="402" t="s">
        <v>498</v>
      </c>
      <c r="E75" s="403"/>
      <c r="F75" s="68"/>
      <c r="G75" s="404" t="s">
        <v>15532</v>
      </c>
      <c r="H75" s="405"/>
      <c r="I75" s="405"/>
      <c r="J75" s="406"/>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13"/>
      <c r="H76" s="413"/>
      <c r="I76" s="413"/>
      <c r="J76" s="413"/>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贵公司的负责任矿产采购政策是否公开发布于贵公司网页上？（备注 - 如果是，请在注释字段中注明 URL。） (*)</v>
      </c>
      <c r="C77" s="68"/>
      <c r="D77" s="402" t="s">
        <v>499</v>
      </c>
      <c r="E77" s="403"/>
      <c r="F77" s="68"/>
      <c r="G77" s="433"/>
      <c r="H77" s="434"/>
      <c r="I77" s="434"/>
      <c r="J77" s="435"/>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您是否要求您的直接供应商从其尽职调查实践已被被独立第三方审核机构验证过的冶炼厂采购 3TG？  (*)</v>
      </c>
      <c r="C79" s="68"/>
      <c r="D79" s="402" t="s">
        <v>498</v>
      </c>
      <c r="E79" s="403"/>
      <c r="F79" s="68"/>
      <c r="G79" s="404"/>
      <c r="H79" s="405"/>
      <c r="I79" s="405"/>
      <c r="J79" s="406"/>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贵公司是否已实施负责任矿产采购的尽职调查措施？ (*)</v>
      </c>
      <c r="C81" s="68"/>
      <c r="D81" s="402" t="s">
        <v>498</v>
      </c>
      <c r="E81" s="403"/>
      <c r="F81" s="68"/>
      <c r="G81" s="404"/>
      <c r="H81" s="405"/>
      <c r="I81" s="405"/>
      <c r="J81" s="406"/>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贵公司是否开展了相关供应商的冲突矿产调查？ (*)</v>
      </c>
      <c r="C83" s="68"/>
      <c r="D83" s="402" t="s">
        <v>15442</v>
      </c>
      <c r="E83" s="403"/>
      <c r="F83" s="68"/>
      <c r="G83" s="404"/>
      <c r="H83" s="405"/>
      <c r="I83" s="405"/>
      <c r="J83" s="406"/>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贵公司是否根据公司期望来审查供应商提交的尽职调查信息？ (*)</v>
      </c>
      <c r="C85" s="68"/>
      <c r="D85" s="411" t="s">
        <v>498</v>
      </c>
      <c r="E85" s="412"/>
      <c r="F85" s="68"/>
      <c r="G85" s="404"/>
      <c r="H85" s="405"/>
      <c r="I85" s="405"/>
      <c r="J85" s="406"/>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13"/>
      <c r="H86" s="413"/>
      <c r="I86" s="413"/>
      <c r="J86" s="413"/>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贵公司的验证程序是否包括纠正措施管理？ (*)</v>
      </c>
      <c r="C87" s="68"/>
      <c r="D87" s="402" t="s">
        <v>498</v>
      </c>
      <c r="E87" s="403"/>
      <c r="F87" s="68"/>
      <c r="G87" s="404"/>
      <c r="H87" s="405"/>
      <c r="I87" s="405"/>
      <c r="J87" s="406"/>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14"/>
      <c r="H88" s="414"/>
      <c r="I88" s="414"/>
      <c r="J88" s="414"/>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贵公司是否需要提交年度冲突矿产披露？ (*)</v>
      </c>
      <c r="C89" s="68"/>
      <c r="D89" s="402" t="s">
        <v>499</v>
      </c>
      <c r="E89" s="403"/>
      <c r="F89" s="68"/>
      <c r="G89" s="404"/>
      <c r="H89" s="405"/>
      <c r="I89" s="405"/>
      <c r="J89" s="406"/>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10" t="str">
        <f>IF(OR($D$8="",$I$3=""),"","Click here to check required fields completion")</f>
        <v/>
      </c>
      <c r="C90" s="410"/>
      <c r="D90" s="410"/>
      <c r="E90" s="410"/>
      <c r="F90" s="410"/>
      <c r="G90" s="410"/>
      <c r="H90" s="410"/>
      <c r="I90" s="410"/>
      <c r="J90" s="41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08" t="str">
        <f ca="1">OFFSET(L!$C$1,MATCH("General"&amp;"Cpy",L!$A:$A,0)-1,SL,,)</f>
        <v>© 2020 Responsible Minerals Initiative。保留所有权利。</v>
      </c>
      <c r="B91" s="409"/>
      <c r="C91" s="409"/>
      <c r="D91" s="409"/>
      <c r="E91" s="409"/>
      <c r="F91" s="409"/>
      <c r="G91" s="409"/>
      <c r="H91" s="409"/>
      <c r="I91" s="409"/>
      <c r="J91" s="40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phoneticPr fontId="97" type="noConversion"/>
  <conditionalFormatting sqref="D75:E75 D77:E77 D79:E79 D81:E81 D85:E85 D87:E87 D89:E89 D83">
    <cfRule type="expression" dxfId="117" priority="75" stopIfTrue="1">
      <formula>AND(OR($D$26="No",AND($D$26="Yes",$D$32="No")),OR($D$27="No",AND($D$27="Yes",$D$33="No")),OR($D$28="No",AND($D$28="Yes",$D$34="No")),OR($D$29="No",AND($D$29="Yes",$D$35="No")))</formula>
    </cfRule>
    <cfRule type="expression" dxfId="116" priority="76" stopIfTrue="1">
      <formula>IF(D75="",TRUE)</formula>
    </cfRule>
  </conditionalFormatting>
  <conditionalFormatting sqref="G77:J77">
    <cfRule type="expression" dxfId="115" priority="47" stopIfTrue="1">
      <formula>IF(AND($D$77="Yes",$G$77=""),TRUE)</formula>
    </cfRule>
  </conditionalFormatting>
  <conditionalFormatting sqref="D22:E22">
    <cfRule type="expression" dxfId="114" priority="149" stopIfTrue="1">
      <formula>IF($D$22="",TRUE)</formula>
    </cfRule>
  </conditionalFormatting>
  <conditionalFormatting sqref="D10:J10">
    <cfRule type="expression" dxfId="113" priority="46" stopIfTrue="1">
      <formula>IF($D$9=$Q$9,TRUE)</formula>
    </cfRule>
    <cfRule type="expression" dxfId="112" priority="156" stopIfTrue="1">
      <formula>IF(AND($D$10="",$D$9=$R$9),TRUE)</formula>
    </cfRule>
  </conditionalFormatting>
  <conditionalFormatting sqref="D34:E34 D40:E40 D52:E52 D58:E58 D64:E64 D70:E70">
    <cfRule type="expression" dxfId="111" priority="39" stopIfTrue="1">
      <formula>$P$28=""</formula>
    </cfRule>
  </conditionalFormatting>
  <conditionalFormatting sqref="D35:E35 D41:E41 D53:E53 D59:E59 D65:E65 D71:E71">
    <cfRule type="expression" dxfId="110" priority="154" stopIfTrue="1">
      <formula>$P$29=""</formula>
    </cfRule>
  </conditionalFormatting>
  <conditionalFormatting sqref="D32:E32">
    <cfRule type="expression" dxfId="109" priority="132" stopIfTrue="1">
      <formula>$P$26=""</formula>
    </cfRule>
  </conditionalFormatting>
  <conditionalFormatting sqref="D32:E32">
    <cfRule type="expression" dxfId="108" priority="45" stopIfTrue="1">
      <formula>IF(AND(OR($D$26="Yes",$D$26=""),$D$32=""),1,0)</formula>
    </cfRule>
  </conditionalFormatting>
  <conditionalFormatting sqref="D38 D50 D56 D62 D68">
    <cfRule type="expression" dxfId="107" priority="41" stopIfTrue="1">
      <formula>$P$32=""</formula>
    </cfRule>
  </conditionalFormatting>
  <conditionalFormatting sqref="D39:E39 D51 D57 D63 D69">
    <cfRule type="expression" dxfId="106" priority="40" stopIfTrue="1">
      <formula>$P$33=""</formula>
    </cfRule>
  </conditionalFormatting>
  <conditionalFormatting sqref="D40 D52 D58 D64 D70">
    <cfRule type="expression" dxfId="105" priority="30" stopIfTrue="1">
      <formula>$P$34=""</formula>
    </cfRule>
    <cfRule type="expression" dxfId="104" priority="152" stopIfTrue="1">
      <formula>IF(AND(OR($D$28="Yes",$D$28=""),D40=""),1,0)</formula>
    </cfRule>
  </conditionalFormatting>
  <conditionalFormatting sqref="D41 D53 D59 D65 D71">
    <cfRule type="expression" dxfId="103" priority="38" stopIfTrue="1">
      <formula>$P$35=""</formula>
    </cfRule>
  </conditionalFormatting>
  <conditionalFormatting sqref="D38:E38 D50:E50 D56:E56 D62:E62 D68:E68">
    <cfRule type="expression" dxfId="102" priority="43" stopIfTrue="1">
      <formula>$P$26=""</formula>
    </cfRule>
    <cfRule type="expression" dxfId="101" priority="44" stopIfTrue="1">
      <formula>IF(AND(OR($D$26="Yes",$D$26=""),D38=""),1,0)</formula>
    </cfRule>
  </conditionalFormatting>
  <conditionalFormatting sqref="G85:J85">
    <cfRule type="expression" dxfId="100" priority="37" stopIfTrue="1">
      <formula>IF(AND($D$85="Yes, using other format (describe)",$G$85=""),TRUE)</formula>
    </cfRule>
  </conditionalFormatting>
  <conditionalFormatting sqref="D39:E39 D51:E51 D57:E57 D63:E63 D69:E69">
    <cfRule type="expression" dxfId="99" priority="150" stopIfTrue="1">
      <formula>$P$39=""</formula>
    </cfRule>
    <cfRule type="expression" dxfId="98" priority="151" stopIfTrue="1">
      <formula>IF(AND(OR($D$27="Yes",$D$27=""),D39=""),1,0)</formula>
    </cfRule>
  </conditionalFormatting>
  <conditionalFormatting sqref="D33:E33">
    <cfRule type="expression" dxfId="97" priority="32" stopIfTrue="1">
      <formula>IF(AND(OR($D$27="Yes",$D$27=""),$D$33=""),1,0)</formula>
    </cfRule>
    <cfRule type="expression" dxfId="96" priority="33" stopIfTrue="1">
      <formula>$P$27=""</formula>
    </cfRule>
  </conditionalFormatting>
  <conditionalFormatting sqref="D34:E34">
    <cfRule type="expression" dxfId="95" priority="153" stopIfTrue="1">
      <formula>IF(AND(OR($D$28="Yes",$D$28=""),$D$34=""),1,0)</formula>
    </cfRule>
  </conditionalFormatting>
  <conditionalFormatting sqref="D41:E41 D53:E53 D59:E59 D65:E65 D71:E71">
    <cfRule type="expression" dxfId="94" priority="155" stopIfTrue="1">
      <formula>IF(AND(OR($D$29="Yes",$D$29=""),D41=""),1,0)</formula>
    </cfRule>
  </conditionalFormatting>
  <conditionalFormatting sqref="D35:E35">
    <cfRule type="expression" dxfId="93" priority="29" stopIfTrue="1">
      <formula>IF(AND(OR($D$29="Yes",$D$29=""),$D$35=""),1,0)</formula>
    </cfRule>
  </conditionalFormatting>
  <conditionalFormatting sqref="D46:E46">
    <cfRule type="expression" dxfId="92" priority="15" stopIfTrue="1">
      <formula>$P$28=""</formula>
    </cfRule>
  </conditionalFormatting>
  <conditionalFormatting sqref="D47:E47">
    <cfRule type="expression" dxfId="91" priority="23" stopIfTrue="1">
      <formula>$P$29=""</formula>
    </cfRule>
  </conditionalFormatting>
  <conditionalFormatting sqref="D44">
    <cfRule type="expression" dxfId="90" priority="17" stopIfTrue="1">
      <formula>$P$32=""</formula>
    </cfRule>
  </conditionalFormatting>
  <conditionalFormatting sqref="D45">
    <cfRule type="expression" dxfId="89" priority="16" stopIfTrue="1">
      <formula>$P$33=""</formula>
    </cfRule>
  </conditionalFormatting>
  <conditionalFormatting sqref="D46">
    <cfRule type="expression" dxfId="88" priority="13" stopIfTrue="1">
      <formula>$P$34=""</formula>
    </cfRule>
    <cfRule type="expression" dxfId="87" priority="22" stopIfTrue="1">
      <formula>IF(AND(OR($D$28="Yes",$D$28=""),D46=""),1,0)</formula>
    </cfRule>
  </conditionalFormatting>
  <conditionalFormatting sqref="D47">
    <cfRule type="expression" dxfId="86" priority="14" stopIfTrue="1">
      <formula>$P$35=""</formula>
    </cfRule>
  </conditionalFormatting>
  <conditionalFormatting sqref="D44:E44">
    <cfRule type="expression" dxfId="85" priority="18" stopIfTrue="1">
      <formula>$P$26=""</formula>
    </cfRule>
    <cfRule type="expression" dxfId="84" priority="19" stopIfTrue="1">
      <formula>IF(AND(OR($D$26="Yes",$D$26=""),D44=""),1,0)</formula>
    </cfRule>
  </conditionalFormatting>
  <conditionalFormatting sqref="D45:E45">
    <cfRule type="expression" dxfId="83" priority="20" stopIfTrue="1">
      <formula>$P$39=""</formula>
    </cfRule>
    <cfRule type="expression" dxfId="82" priority="21" stopIfTrue="1">
      <formula>IF(AND(OR($D$27="Yes",$D$27=""),D45=""),1,0)</formula>
    </cfRule>
  </conditionalFormatting>
  <conditionalFormatting sqref="D47:E47">
    <cfRule type="expression" dxfId="81" priority="24" stopIfTrue="1">
      <formula>IF(AND(OR($D$29="Yes",$D$29=""),D47=""),1,0)</formula>
    </cfRule>
  </conditionalFormatting>
  <conditionalFormatting sqref="D8:J8">
    <cfRule type="expression" dxfId="80" priority="12" stopIfTrue="1">
      <formula>IF($D$8="",TRUE)</formula>
    </cfRule>
  </conditionalFormatting>
  <conditionalFormatting sqref="D9:G9">
    <cfRule type="expression" dxfId="79" priority="11" stopIfTrue="1">
      <formula>IF($D$9="",TRUE)</formula>
    </cfRule>
  </conditionalFormatting>
  <conditionalFormatting sqref="D15:J15">
    <cfRule type="expression" dxfId="78" priority="10" stopIfTrue="1">
      <formula>IF($D$15="",TRUE)</formula>
    </cfRule>
  </conditionalFormatting>
  <conditionalFormatting sqref="D16:J16">
    <cfRule type="expression" dxfId="77" priority="9" stopIfTrue="1">
      <formula>IF($D$16="",TRUE)</formula>
    </cfRule>
  </conditionalFormatting>
  <conditionalFormatting sqref="D17:J17">
    <cfRule type="expression" dxfId="76" priority="7" stopIfTrue="1">
      <formula>IF($D$17="",TRUE)</formula>
    </cfRule>
  </conditionalFormatting>
  <conditionalFormatting sqref="D18:J18">
    <cfRule type="expression" dxfId="75" priority="8" stopIfTrue="1">
      <formula>IF($D$18="",TRUE)</formula>
    </cfRule>
  </conditionalFormatting>
  <conditionalFormatting sqref="D21:J21">
    <cfRule type="expression" dxfId="74" priority="6" stopIfTrue="1">
      <formula>IF($D$17="",TRUE)</formula>
    </cfRule>
  </conditionalFormatting>
  <conditionalFormatting sqref="D20:J20">
    <cfRule type="expression" dxfId="73" priority="5" stopIfTrue="1">
      <formula>IF($D$16="",TRUE)</formula>
    </cfRule>
  </conditionalFormatting>
  <conditionalFormatting sqref="D26:E26">
    <cfRule type="expression" dxfId="72" priority="1" stopIfTrue="1">
      <formula>IF($D$26="",TRUE)</formula>
    </cfRule>
  </conditionalFormatting>
  <conditionalFormatting sqref="D27:E27">
    <cfRule type="expression" dxfId="71" priority="2" stopIfTrue="1">
      <formula>IF($D$27="",TRUE)</formula>
    </cfRule>
  </conditionalFormatting>
  <conditionalFormatting sqref="D28:E28">
    <cfRule type="expression" dxfId="70" priority="3" stopIfTrue="1">
      <formula>IF($D$28="",TRUE)</formula>
    </cfRule>
  </conditionalFormatting>
  <conditionalFormatting sqref="D29:E29">
    <cfRule type="expression" dxfId="69" priority="4" stopIfTrue="1">
      <formula>IF($D$29="",TRUE)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D16" r:id="rI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selection activeCell="D9" sqref="D9"/>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首先：</v>
      </c>
      <c r="C2" s="205"/>
      <c r="D2" s="205"/>
      <c r="E2" s="205"/>
      <c r="F2" s="232"/>
      <c r="G2" s="232"/>
      <c r="H2" s="232"/>
      <c r="I2" s="233"/>
      <c r="J2" s="464" t="str">
        <f ca="1">OFFSET(L!$C$1,MATCH("Smelter List"&amp;ADDRESS(ROW(),COLUMN(),4),L!$A:$A,0)-1,SL,,)</f>
        <v>链接到“RMAP 合规冶炼厂列表”</v>
      </c>
      <c r="K2" s="465"/>
      <c r="L2" s="465"/>
      <c r="M2" s="465"/>
      <c r="N2" s="465"/>
      <c r="O2" s="465"/>
      <c r="P2" s="234"/>
      <c r="Q2" s="235"/>
      <c r="R2" s="236"/>
      <c r="S2" s="236"/>
      <c r="T2" s="236"/>
      <c r="U2" s="267"/>
      <c r="V2" s="267"/>
      <c r="W2" s="268"/>
      <c r="X2" s="267"/>
      <c r="Y2" s="267"/>
      <c r="Z2" s="267"/>
      <c r="AH2" s="176" t="s">
        <v>498</v>
      </c>
    </row>
    <row r="3" spans="1:34" s="269" customFormat="1" ht="243.95" customHeight="1">
      <c r="A3" s="204"/>
      <c r="B3" s="466" t="str">
        <f ca="1">OFFSET(L!$C$1,MATCH("Smelter List"&amp;ADDRESS(ROW(),COLUMN(),4),L!$A:$A,0)-1,SL,,)</f>
        <v>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v>
      </c>
      <c r="C3" s="466"/>
      <c r="D3" s="466"/>
      <c r="E3" s="466"/>
      <c r="F3" s="270"/>
      <c r="G3" s="467" t="str">
        <f ca="1">OFFSET(L!$C$1,MATCH("General"&amp;"Cpy",L!$A:$A,0)-1,SL,,)</f>
        <v>© 2020 Responsible Minerals Initiative。保留所有权利。</v>
      </c>
      <c r="H3" s="467"/>
      <c r="I3" s="468"/>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47.25">
      <c r="A4" s="261" t="str">
        <f ca="1">OFFSET(L!$C$1,MATCH("Smelter List"&amp;ADDRESS(ROW(),COLUMN(),4),L!$A:$A,0)-1,SL,,)</f>
        <v>冶炼厂识别号码输入列</v>
      </c>
      <c r="B4" s="261" t="str">
        <f ca="1">OFFSET(L!$C$1,MATCH("Smelter List"&amp;ADDRESS(ROW(),COLUMN(),4),L!$A:$A,0)-1,SL,,)</f>
        <v>金属 (*)</v>
      </c>
      <c r="C4" s="261" t="str">
        <f ca="1">OFFSET(L!$C$1,MATCH("Smelter List"&amp;ADDRESS(ROW(),COLUMN(),4),L!$A:$A,0)-1,SL,,)</f>
        <v>冶炼厂查找 (*)</v>
      </c>
      <c r="D4" s="261" t="str">
        <f ca="1">OFFSET(L!$C$1,MATCH("Smelter List"&amp;ADDRESS(ROW(),COLUMN(),4),L!$A:$A,0)-1,SL,,)</f>
        <v>冶炼厂名称 (1)</v>
      </c>
      <c r="E4" s="261" t="str">
        <f ca="1">OFFSET(L!$C$1,MATCH("Smelter List"&amp;ADDRESS(ROW(),COLUMN(),4),L!$A:$A,0)-1,SL,,)</f>
        <v>冶炼厂所在国家或地区 (*)</v>
      </c>
      <c r="F4" s="261" t="str">
        <f ca="1">OFFSET(L!$C$1,MATCH("Smelter List"&amp;ADDRESS(ROW(),COLUMN(),4),L!$A:$A,0)-1,SL,,)</f>
        <v>冶炼厂识别</v>
      </c>
      <c r="G4" s="261" t="str">
        <f ca="1">OFFSET(L!$C$1,MATCH("Smelter List"&amp;ADDRESS(ROW(),COLUMN(),4),L!$A:$A,0)-1,SL,,)</f>
        <v>冶炼厂出处识别号</v>
      </c>
      <c r="H4" s="175" t="str">
        <f ca="1">OFFSET(L!$C$1,MATCH("Smelter List"&amp;ADDRESS(ROW(),COLUMN(),4),L!$A:$A,0)-1,SL,,)</f>
        <v>冶炼厂所在街道</v>
      </c>
      <c r="I4" s="175" t="str">
        <f ca="1">OFFSET(L!$C$1,MATCH("Smelter List"&amp;ADDRESS(ROW(),COLUMN(),4),L!$A:$A,0)-1,SL,,)</f>
        <v>冶炼厂所在城市</v>
      </c>
      <c r="J4" s="175" t="str">
        <f ca="1">OFFSET(L!$C$1,MATCH("Smelter List"&amp;ADDRESS(ROW(),COLUMN(),4),L!$A:$A,0)-1,SL,,)</f>
        <v>冶炼厂地址：州/省</v>
      </c>
      <c r="K4" s="175" t="str">
        <f ca="1">OFFSET(L!$C$1,MATCH("Smelter List"&amp;ADDRESS(ROW(),COLUMN(),4),L!$A:$A,0)-1,SL,,)</f>
        <v>冶炼厂联系人</v>
      </c>
      <c r="L4" s="175" t="str">
        <f ca="1">OFFSET(L!$C$1,MATCH("Smelter List"&amp;ADDRESS(ROW(),COLUMN(),4),L!$A:$A,0)-1,SL,,)</f>
        <v>冶炼厂联系人电子邮件</v>
      </c>
      <c r="M4" s="175" t="str">
        <f ca="1">OFFSET(L!$C$1,MATCH("Smelter List"&amp;ADDRESS(ROW(),COLUMN(),4),L!$A:$A,0)-1,SL,,)</f>
        <v>建议的后续步骤</v>
      </c>
      <c r="N4" s="175" t="str">
        <f ca="1">OFFSET(L!$C$1,MATCH("Smelter List"&amp;ADDRESS(ROW(),COLUMN(),4),L!$A:$A,0)-1,SL,,)</f>
        <v>填写矿井名称，或如果所用矿产来自于回收料和报废料，请填写“回收”或“报废”。</v>
      </c>
      <c r="O4" s="175" t="str">
        <f ca="1">OFFSET(L!$C$1,MATCH("Smelter List"&amp;ADDRESS(ROW(),COLUMN(),4),L!$A:$A,0)-1,SL,,)</f>
        <v>填写矿井所在国家或地区，或如果所用矿产来自于回收料和报废料，请填写“回收”或“报废”。</v>
      </c>
      <c r="P4" s="175" t="str">
        <f ca="1">OFFSET(L!$C$1,MATCH("Smelter List"&amp;ADDRESS(ROW(),COLUMN(),4),L!$A:$A,0)-1,SL,,)</f>
        <v>冶炼厂的被冶炼物料是否 100% 来自于回收料或报废料？</v>
      </c>
      <c r="Q4" s="176" t="str">
        <f ca="1">OFFSET(L!$C$1,MATCH("Smelter List"&amp;ADDRESS(ROW(),COLUMN(),4),L!$A:$A,0)-1,SL,,)</f>
        <v>注释</v>
      </c>
      <c r="R4" s="261" t="s">
        <v>12747</v>
      </c>
      <c r="S4" s="261" t="s">
        <v>12730</v>
      </c>
      <c r="T4" s="261" t="s">
        <v>12731</v>
      </c>
      <c r="U4" s="239"/>
      <c r="V4" s="192"/>
      <c r="W4" s="192" t="s">
        <v>1347</v>
      </c>
      <c r="X4" s="192" t="s">
        <v>965</v>
      </c>
      <c r="Y4" s="192"/>
      <c r="Z4" s="192"/>
      <c r="AH4" s="176" t="s">
        <v>500</v>
      </c>
    </row>
    <row r="5" spans="1:34" s="277" customFormat="1" ht="20.100000000000001" customHeight="1">
      <c r="A5" s="332" t="s">
        <v>15506</v>
      </c>
      <c r="B5" s="217" t="str">
        <f ca="1">IF(LEN(A5)=0,"",INDEX('Smelter Look-up'!$A:$A,MATCH($A5,'Smelter Look-up'!$E:$E,0)))</f>
        <v>Tin</v>
      </c>
      <c r="C5" s="221" t="str">
        <f ca="1">IF(LEN(A5)=0,"",INDEX('Smelter Look-up'!$C:$C,MATCH($A5,'Smelter Look-up'!$E:$E,0)))</f>
        <v>Yunnan Tin Company Limited</v>
      </c>
      <c r="D5" s="221" t="s">
        <v>2471</v>
      </c>
      <c r="E5" s="217" t="str">
        <f ca="1">IF(ISERROR($V5),"",OFFSET('Smelter Look-up'!$D$4,$V5-4,0)&amp;"")</f>
        <v>CHINA</v>
      </c>
      <c r="F5" s="217" t="str">
        <f ca="1">IF(ISERROR($V5),"",OFFSET('Smelter Look-up'!$E$4,$V5-4,0))</f>
        <v>CID002180</v>
      </c>
      <c r="G5" s="217" t="str">
        <f ca="1">IF(C5=$X$4,"Enter smelter details",IF(ISERROR($V5),"",OFFSET('Smelter Look-up'!$F$4,$V5-4,0)))</f>
        <v>RMI</v>
      </c>
      <c r="H5" s="218" t="s">
        <v>15507</v>
      </c>
      <c r="I5" s="219" t="str">
        <f ca="1">IF(ISERROR($V5),"",OFFSET('Smelter Look-up'!$H$4,$V5-4,0))</f>
        <v>Gejiu</v>
      </c>
      <c r="J5" s="219" t="str">
        <f ca="1">IF(ISERROR($V5),"",OFFSET('Smelter Look-up'!$I$4,$V5-4,0))</f>
        <v>Yunnan Sheng</v>
      </c>
      <c r="K5" s="352" t="s">
        <v>15511</v>
      </c>
      <c r="L5" s="356" t="s">
        <v>15516</v>
      </c>
      <c r="M5" s="218" t="s">
        <v>15521</v>
      </c>
      <c r="N5" s="359" t="s">
        <v>40</v>
      </c>
      <c r="O5" s="217" t="s">
        <v>1123</v>
      </c>
      <c r="P5" s="360" t="s">
        <v>499</v>
      </c>
      <c r="Q5" s="274"/>
      <c r="R5" s="217" t="str">
        <f ca="1">IF(ISERROR($V5),"",OFFSET('Smelter Look-up'!$C$4,$V5-4,0)&amp;"")</f>
        <v>Yunnan Tin Company Limited</v>
      </c>
      <c r="S5" s="225" t="str">
        <f t="shared" ref="S5" ca="1" si="0">IF(B5="","",IF(ISERROR(MATCH($E5,CL,0)),"Unknown",INDIRECT("'C'!$A$"&amp;MATCH($E5,CL,0)+1)))</f>
        <v>CN</v>
      </c>
      <c r="T5" s="225" t="str">
        <f ca="1">IF(B5="","",IF(ISERROR(MATCH($J5,SorP!$B$1:$B$6230,0)),"",INDIRECT("'SorP'!$A$"&amp;MATCH($J5,SorP!$B$1:$B$6230,0))))</f>
        <v>CN-YN</v>
      </c>
      <c r="U5" s="241"/>
      <c r="V5" s="275">
        <f ca="1">IF(C5="",NA(),MATCH($B5&amp;$C5,'Smelter Look-up'!$J:$J,0))</f>
        <v>477</v>
      </c>
      <c r="W5" s="276"/>
      <c r="X5" s="276">
        <f t="shared" ref="X5" ca="1" si="1">IF(AND(C5="Smelter not listed",OR(LEN(D5)=0,LEN(E5)=0)),1,0)</f>
        <v>0</v>
      </c>
      <c r="Y5" s="276"/>
      <c r="Z5" s="276"/>
      <c r="AB5" s="278" t="str">
        <f t="shared" ref="AB5" ca="1" si="2">B5&amp;C5</f>
        <v>TinYunnan Tin Company Limited</v>
      </c>
    </row>
    <row r="6" spans="1:34" s="277" customFormat="1" ht="20.100000000000001" customHeight="1">
      <c r="A6" s="217" t="s">
        <v>791</v>
      </c>
      <c r="B6" s="217" t="str">
        <f ca="1">IF(LEN(A6)=0,"",INDEX('Smelter Look-up'!$A:$A,MATCH($A6,'Smelter Look-up'!$E:$E,0)))</f>
        <v>Tin</v>
      </c>
      <c r="C6" s="221" t="str">
        <f ca="1">IF(LEN(A6)=0,"",INDEX('Smelter Look-up'!$C:$C,MATCH($A6,'Smelter Look-up'!$E:$E,0)))</f>
        <v>China Tin Group Co., Ltd.</v>
      </c>
      <c r="D6" s="221" t="s">
        <v>1350</v>
      </c>
      <c r="E6" s="217" t="str">
        <f ca="1">IF(ISERROR($V6),"",OFFSET('Smelter Look-up'!$D$4,$V6-4,0)&amp;"")</f>
        <v>CHINA</v>
      </c>
      <c r="F6" s="217" t="str">
        <f ca="1">IF(ISERROR($V6),"",OFFSET('Smelter Look-up'!$E$4,$V6-4,0))</f>
        <v>CID001070</v>
      </c>
      <c r="G6" s="217" t="str">
        <f ca="1">IF(C6=$X$4,"Enter smelter details",IF(ISERROR($V6),"",OFFSET('Smelter Look-up'!$F$4,$V6-4,0)))</f>
        <v>RMI</v>
      </c>
      <c r="H6" s="349" t="s">
        <v>15508</v>
      </c>
      <c r="I6" s="219" t="str">
        <f ca="1">IF(ISERROR($V6),"",OFFSET('Smelter Look-up'!$H$4,$V6-4,0))</f>
        <v>Laibin</v>
      </c>
      <c r="J6" s="219" t="str">
        <f ca="1">IF(ISERROR($V6),"",OFFSET('Smelter Look-up'!$I$4,$V6-4,0))</f>
        <v>Guangxi Zhuangzu Zizhiqu</v>
      </c>
      <c r="K6" s="352" t="s">
        <v>15512</v>
      </c>
      <c r="L6" s="354" t="s">
        <v>15517</v>
      </c>
      <c r="M6" s="218" t="s">
        <v>15521</v>
      </c>
      <c r="N6" s="354" t="s">
        <v>15522</v>
      </c>
      <c r="O6" s="361" t="s">
        <v>1123</v>
      </c>
      <c r="P6" s="220" t="s">
        <v>499</v>
      </c>
      <c r="Q6" s="274"/>
      <c r="R6" s="217" t="str">
        <f ca="1">IF(ISERROR($V6),"",OFFSET('Smelter Look-up'!$C$4,$V6-4,0)&amp;"")</f>
        <v>China Tin Group Co., Ltd.</v>
      </c>
      <c r="S6" s="225" t="str">
        <f t="shared" ref="S6:S37" ca="1" si="3">IF(B6="","",IF(ISERROR(MATCH($E6,CL,0)),"Unknown",INDIRECT("'C'!$A$"&amp;MATCH($E6,CL,0)+1)))</f>
        <v>CN</v>
      </c>
      <c r="T6" s="225" t="str">
        <f ca="1">IF(B6="","",IF(ISERROR(MATCH($J6,SorP!$B$1:$B$6230,0)),"",INDIRECT("'SorP'!$A$"&amp;MATCH($J6,SorP!$B$1:$B$6230,0))))</f>
        <v>CN-GX</v>
      </c>
      <c r="U6" s="241"/>
      <c r="V6" s="275">
        <f ca="1">IF(C6="",NA(),MATCH($B6&amp;$C6,'Smelter Look-up'!$J:$J,0))</f>
        <v>367</v>
      </c>
      <c r="W6" s="276"/>
      <c r="X6" s="276">
        <f t="shared" ref="X6:X37" ca="1" si="4">IF(AND(C6="Smelter not listed",OR(LEN(D6)=0,LEN(E6)=0)),1,0)</f>
        <v>0</v>
      </c>
      <c r="Y6" s="276"/>
      <c r="Z6" s="276"/>
      <c r="AB6" s="278" t="str">
        <f t="shared" ref="AB6:AB37" ca="1" si="5">B6&amp;C6</f>
        <v>TinChina Tin Group Co., Ltd.</v>
      </c>
    </row>
    <row r="7" spans="1:34" s="277" customFormat="1" ht="20.100000000000001" customHeight="1">
      <c r="A7" s="217" t="s">
        <v>13265</v>
      </c>
      <c r="B7" s="217" t="str">
        <f ca="1">IF(LEN(A7)=0,"",INDEX('Smelter Look-up'!$A:$A,MATCH($A7,'Smelter Look-up'!$E:$E,0)))</f>
        <v>Tin</v>
      </c>
      <c r="C7" s="221" t="str">
        <f ca="1">IF(LEN(A7)=0,"",INDEX('Smelter Look-up'!$C:$C,MATCH($A7,'Smelter Look-up'!$E:$E,0)))</f>
        <v>Chifeng Dajingzi Tin Industry Co., Ltd.</v>
      </c>
      <c r="D7" s="221" t="s">
        <v>13264</v>
      </c>
      <c r="E7" s="217" t="str">
        <f ca="1">IF(ISERROR($V7),"",OFFSET('Smelter Look-up'!$D$4,$V7-4,0)&amp;"")</f>
        <v>CHINA</v>
      </c>
      <c r="F7" s="217" t="str">
        <f ca="1">IF(ISERROR($V7),"",OFFSET('Smelter Look-up'!$E$4,$V7-4,0))</f>
        <v>CID003190</v>
      </c>
      <c r="G7" s="217" t="str">
        <f ca="1">IF(C7=$X$4,"Enter smelter details",IF(ISERROR($V7),"",OFFSET('Smelter Look-up'!$F$4,$V7-4,0)))</f>
        <v>RMI</v>
      </c>
      <c r="H7" s="350" t="s">
        <v>15509</v>
      </c>
      <c r="I7" s="219" t="str">
        <f ca="1">IF(ISERROR($V7),"",OFFSET('Smelter Look-up'!$H$4,$V7-4,0))</f>
        <v>Chifeng</v>
      </c>
      <c r="J7" s="219" t="str">
        <f ca="1">IF(ISERROR($V7),"",OFFSET('Smelter Look-up'!$I$4,$V7-4,0))</f>
        <v>Nei Mongol Zizhiqu</v>
      </c>
      <c r="K7" s="353" t="s">
        <v>15513</v>
      </c>
      <c r="L7" s="357" t="s">
        <v>15518</v>
      </c>
      <c r="M7" s="218" t="s">
        <v>15521</v>
      </c>
      <c r="N7" s="362" t="s">
        <v>15523</v>
      </c>
      <c r="O7" s="361" t="s">
        <v>1123</v>
      </c>
      <c r="P7" s="218" t="s">
        <v>499</v>
      </c>
      <c r="Q7" s="274"/>
      <c r="R7" s="217" t="str">
        <f ca="1">IF(ISERROR($V7),"",OFFSET('Smelter Look-up'!$C$4,$V7-4,0)&amp;"")</f>
        <v>Chifeng Dajingzi Tin Industry Co., Ltd.</v>
      </c>
      <c r="S7" s="225" t="str">
        <f t="shared" ca="1" si="3"/>
        <v>CN</v>
      </c>
      <c r="T7" s="225" t="str">
        <f ca="1">IF(B7="","",IF(ISERROR(MATCH($J7,SorP!$B$1:$B$6230,0)),"",INDIRECT("'SorP'!$A$"&amp;MATCH($J7,SorP!$B$1:$B$6230,0))))</f>
        <v>CN-NM</v>
      </c>
      <c r="U7" s="241"/>
      <c r="V7" s="275">
        <f ca="1">IF(C7="",NA(),MATCH($B7&amp;$C7,'Smelter Look-up'!$J:$J,0))</f>
        <v>365</v>
      </c>
      <c r="W7" s="276"/>
      <c r="X7" s="276">
        <f t="shared" ca="1" si="4"/>
        <v>0</v>
      </c>
      <c r="Y7" s="276"/>
      <c r="Z7" s="276"/>
      <c r="AB7" s="278" t="str">
        <f t="shared" ca="1" si="5"/>
        <v>TinChifeng Dajingzi Tin Industry Co., Ltd.</v>
      </c>
    </row>
    <row r="8" spans="1:34" s="277" customFormat="1" ht="20.100000000000001" customHeight="1">
      <c r="A8" s="216" t="s">
        <v>808</v>
      </c>
      <c r="B8" s="217" t="str">
        <f ca="1">IF(LEN(A8)=0,"",INDEX('Smelter Look-up'!$A:$A,MATCH($A8,'Smelter Look-up'!$E:$E,0)))</f>
        <v>Tin</v>
      </c>
      <c r="C8" s="221" t="str">
        <f ca="1">IF(LEN(A8)=0,"",INDEX('Smelter Look-up'!$C:$C,MATCH($A8,'Smelter Look-up'!$E:$E,0)))</f>
        <v>Yunnan Chengfeng Non-ferrous Metals Co., Ltd.</v>
      </c>
      <c r="D8" s="221" t="s">
        <v>2273</v>
      </c>
      <c r="E8" s="217" t="str">
        <f ca="1">IF(ISERROR($V8),"",OFFSET('Smelter Look-up'!$D$4,$V8-4,0)&amp;"")</f>
        <v>CHINA</v>
      </c>
      <c r="F8" s="217" t="str">
        <f ca="1">IF(ISERROR($V8),"",OFFSET('Smelter Look-up'!$E$4,$V8-4,0))</f>
        <v>CID002158</v>
      </c>
      <c r="G8" s="217" t="str">
        <f ca="1">IF(C8=$X$4,"Enter smelter details",IF(ISERROR($V8),"",OFFSET('Smelter Look-up'!$F$4,$V8-4,0)))</f>
        <v>RMI</v>
      </c>
      <c r="H8" s="351" t="s">
        <v>15510</v>
      </c>
      <c r="I8" s="219" t="str">
        <f ca="1">IF(ISERROR($V8),"",OFFSET('Smelter Look-up'!$H$4,$V8-4,0))</f>
        <v>Gejiu</v>
      </c>
      <c r="J8" s="219" t="str">
        <f ca="1">IF(ISERROR($V8),"",OFFSET('Smelter Look-up'!$I$4,$V8-4,0))</f>
        <v>Yunnan Sheng</v>
      </c>
      <c r="K8" s="354" t="s">
        <v>15514</v>
      </c>
      <c r="L8" s="354" t="s">
        <v>15519</v>
      </c>
      <c r="M8" s="218" t="s">
        <v>15521</v>
      </c>
      <c r="N8" s="362" t="s">
        <v>15523</v>
      </c>
      <c r="O8" s="361" t="s">
        <v>1123</v>
      </c>
      <c r="P8" s="218" t="s">
        <v>499</v>
      </c>
      <c r="Q8" s="274"/>
      <c r="R8" s="217" t="str">
        <f ca="1">IF(ISERROR($V8),"",OFFSET('Smelter Look-up'!$C$4,$V8-4,0)&amp;"")</f>
        <v>Yunnan Chengfeng Non-ferrous Metals Co., Ltd.</v>
      </c>
      <c r="S8" s="225" t="str">
        <f t="shared" ca="1" si="3"/>
        <v>CN</v>
      </c>
      <c r="T8" s="225" t="str">
        <f ca="1">IF(B8="","",IF(ISERROR(MATCH($J8,SorP!$B$1:$B$6230,0)),"",INDIRECT("'SorP'!$A$"&amp;MATCH($J8,SorP!$B$1:$B$6230,0))))</f>
        <v>CN-YN</v>
      </c>
      <c r="U8" s="241"/>
      <c r="V8" s="275">
        <f ca="1">IF(C8="",NA(),MATCH($B8&amp;$C8,'Smelter Look-up'!$J:$J,0))</f>
        <v>473</v>
      </c>
      <c r="W8" s="276"/>
      <c r="X8" s="276">
        <f t="shared" ca="1" si="4"/>
        <v>0</v>
      </c>
      <c r="Y8" s="276"/>
      <c r="Z8" s="276"/>
      <c r="AB8" s="278" t="str">
        <f t="shared" ca="1" si="5"/>
        <v>TinYunnan Chengfeng Non-ferrous Metals Co., Ltd.</v>
      </c>
    </row>
    <row r="9" spans="1:34" s="277" customFormat="1" ht="20.100000000000001" customHeight="1">
      <c r="A9" s="217" t="s">
        <v>787</v>
      </c>
      <c r="B9" s="217" t="str">
        <f ca="1">IF(LEN(A9)=0,"",INDEX('Smelter Look-up'!$A:$A,MATCH($A9,'Smelter Look-up'!$E:$E,0)))</f>
        <v>Tin</v>
      </c>
      <c r="C9" s="221" t="str">
        <f ca="1">IF(LEN(A9)=0,"",INDEX('Smelter Look-up'!$C:$C,MATCH($A9,'Smelter Look-up'!$E:$E,0)))</f>
        <v>Gejiu Non-Ferrous Metal Processing Co., Ltd.</v>
      </c>
      <c r="D9" s="221" t="s">
        <v>2248</v>
      </c>
      <c r="E9" s="217" t="str">
        <f ca="1">IF(ISERROR($V9),"",OFFSET('Smelter Look-up'!$D$4,$V9-4,0)&amp;"")</f>
        <v>CHINA</v>
      </c>
      <c r="F9" s="217" t="str">
        <f ca="1">IF(ISERROR($V9),"",OFFSET('Smelter Look-up'!$E$4,$V9-4,0))</f>
        <v>CID000538</v>
      </c>
      <c r="G9" s="217" t="str">
        <f ca="1">IF(C9=$X$4,"Enter smelter details",IF(ISERROR($V9),"",OFFSET('Smelter Look-up'!$F$4,$V9-4,0)))</f>
        <v>RMI</v>
      </c>
      <c r="H9" s="218" t="s">
        <v>15507</v>
      </c>
      <c r="I9" s="219" t="str">
        <f ca="1">IF(ISERROR($V9),"",OFFSET('Smelter Look-up'!$H$4,$V9-4,0))</f>
        <v>Gejiu</v>
      </c>
      <c r="J9" s="219" t="str">
        <f ca="1">IF(ISERROR($V9),"",OFFSET('Smelter Look-up'!$I$4,$V9-4,0))</f>
        <v>Yunnan Sheng</v>
      </c>
      <c r="K9" s="355" t="s">
        <v>15515</v>
      </c>
      <c r="L9" s="358" t="s">
        <v>15520</v>
      </c>
      <c r="M9" s="218" t="s">
        <v>15521</v>
      </c>
      <c r="N9" s="220" t="s">
        <v>15524</v>
      </c>
      <c r="O9" s="361" t="s">
        <v>1123</v>
      </c>
      <c r="P9" s="220" t="s">
        <v>499</v>
      </c>
      <c r="Q9" s="274"/>
      <c r="R9" s="217" t="str">
        <f ca="1">IF(ISERROR($V9),"",OFFSET('Smelter Look-up'!$C$4,$V9-4,0)&amp;"")</f>
        <v>Gejiu Non-Ferrous Metal Processing Co., Ltd.</v>
      </c>
      <c r="S9" s="225" t="str">
        <f t="shared" ca="1" si="3"/>
        <v>CN</v>
      </c>
      <c r="T9" s="225" t="str">
        <f ca="1">IF(B9="","",IF(ISERROR(MATCH($J9,SorP!$B$1:$B$6230,0)),"",INDIRECT("'SorP'!$A$"&amp;MATCH($J9,SorP!$B$1:$B$6230,0))))</f>
        <v>CN-YN</v>
      </c>
      <c r="U9" s="241"/>
      <c r="V9" s="275">
        <f ca="1">IF(C9="",NA(),MATCH($B9&amp;$C9,'Smelter Look-up'!$J:$J,0))</f>
        <v>389</v>
      </c>
      <c r="W9" s="276"/>
      <c r="X9" s="276">
        <f t="shared" ca="1" si="4"/>
        <v>0</v>
      </c>
      <c r="Y9" s="276"/>
      <c r="Z9" s="276"/>
      <c r="AB9" s="278" t="str">
        <f t="shared" ca="1" si="5"/>
        <v>TinGejiu Non-Ferrous Metal Processing Co., Ltd.</v>
      </c>
    </row>
    <row r="10" spans="1:34" s="277" customFormat="1" ht="20.100000000000001" customHeight="1">
      <c r="A10" s="217" t="s">
        <v>1650</v>
      </c>
      <c r="B10" s="217" t="str">
        <f ca="1">IF(LEN(A10)=0,"",INDEX('Smelter Look-up'!$A:$A,MATCH($A10,'Smelter Look-up'!$E:$E,0)))</f>
        <v>Gold</v>
      </c>
      <c r="C10" s="221" t="str">
        <f ca="1">IF(LEN(A10)=0,"",INDEX('Smelter Look-up'!$C:$C,MATCH($A10,'Smelter Look-up'!$E:$E,0)))</f>
        <v>Metalor Technologies (Suzhou) Ltd.</v>
      </c>
      <c r="D10" s="221" t="s">
        <v>1649</v>
      </c>
      <c r="E10" s="217" t="str">
        <f ca="1">IF(ISERROR($V10),"",OFFSET('Smelter Look-up'!$D$4,$V10-4,0)&amp;"")</f>
        <v>CHINA</v>
      </c>
      <c r="F10" s="217" t="str">
        <f ca="1">IF(ISERROR($V10),"",OFFSET('Smelter Look-up'!$E$4,$V10-4,0))</f>
        <v>CID001147</v>
      </c>
      <c r="G10" s="217" t="str">
        <f ca="1">IF(C10=$X$4,"Enter smelter details",IF(ISERROR($V10),"",OFFSET('Smelter Look-up'!$F$4,$V10-4,0)))</f>
        <v>RMI</v>
      </c>
      <c r="H10" s="218" t="s">
        <v>15533</v>
      </c>
      <c r="I10" s="219" t="str">
        <f ca="1">IF(ISERROR($V10),"",OFFSET('Smelter Look-up'!$H$4,$V10-4,0))</f>
        <v>Suzhou</v>
      </c>
      <c r="J10" s="219" t="str">
        <f ca="1">IF(ISERROR($V10),"",OFFSET('Smelter Look-up'!$I$4,$V10-4,0))</f>
        <v>Jiangsu Sheng</v>
      </c>
      <c r="K10" s="364" t="s">
        <v>15535</v>
      </c>
      <c r="L10" s="218" t="s">
        <v>15537</v>
      </c>
      <c r="M10" s="218" t="s">
        <v>15533</v>
      </c>
      <c r="N10" s="365" t="s">
        <v>15538</v>
      </c>
      <c r="O10" s="365" t="s">
        <v>15539</v>
      </c>
      <c r="P10" s="366" t="s">
        <v>499</v>
      </c>
      <c r="Q10" s="367"/>
      <c r="R10" s="217" t="str">
        <f ca="1">IF(ISERROR($V10),"",OFFSET('Smelter Look-up'!$C$4,$V10-4,0)&amp;"")</f>
        <v>Metalor Technologies (Suzhou) Ltd.</v>
      </c>
      <c r="S10" s="225" t="str">
        <f t="shared" ca="1" si="3"/>
        <v>CN</v>
      </c>
      <c r="T10" s="225" t="str">
        <f ca="1">IF(B10="","",IF(ISERROR(MATCH($J10,SorP!$B$1:$B$6230,0)),"",INDIRECT("'SorP'!$A$"&amp;MATCH($J10,SorP!$B$1:$B$6230,0))))</f>
        <v>CN-JS</v>
      </c>
      <c r="U10" s="241"/>
      <c r="V10" s="275">
        <f ca="1">IF(C10="",NA(),MATCH($B10&amp;$C10,'Smelter Look-up'!$J:$J,0))</f>
        <v>157</v>
      </c>
      <c r="W10" s="276"/>
      <c r="X10" s="276">
        <f t="shared" ca="1" si="4"/>
        <v>0</v>
      </c>
      <c r="Y10" s="276"/>
      <c r="Z10" s="276"/>
      <c r="AB10" s="278" t="str">
        <f t="shared" ca="1" si="5"/>
        <v>GoldMetalor Technologies (Suzhou) Ltd.</v>
      </c>
    </row>
    <row r="11" spans="1:34" s="277" customFormat="1" ht="20.100000000000001" customHeight="1">
      <c r="A11" s="363" t="s">
        <v>722</v>
      </c>
      <c r="B11" s="217" t="str">
        <f ca="1">IF(LEN(A11)=0,"",INDEX('Smelter Look-up'!$A:$A,MATCH($A11,'Smelter Look-up'!$E:$E,0)))</f>
        <v>Gold</v>
      </c>
      <c r="C11" s="221" t="str">
        <f ca="1">IF(LEN(A11)=0,"",INDEX('Smelter Look-up'!$C:$C,MATCH($A11,'Smelter Look-up'!$E:$E,0)))</f>
        <v>Metalor Technologies (Singapore) Pte., Ltd.</v>
      </c>
      <c r="D11" s="221" t="s">
        <v>2256</v>
      </c>
      <c r="E11" s="217" t="str">
        <f ca="1">IF(ISERROR($V11),"",OFFSET('Smelter Look-up'!$D$4,$V11-4,0)&amp;"")</f>
        <v>SINGAPORE</v>
      </c>
      <c r="F11" s="217" t="str">
        <f ca="1">IF(ISERROR($V11),"",OFFSET('Smelter Look-up'!$E$4,$V11-4,0))</f>
        <v>CID001152</v>
      </c>
      <c r="G11" s="217" t="str">
        <f ca="1">IF(C11=$X$4,"Enter smelter details",IF(ISERROR($V11),"",OFFSET('Smelter Look-up'!$F$4,$V11-4,0)))</f>
        <v>RMI</v>
      </c>
      <c r="H11" s="351" t="s">
        <v>15534</v>
      </c>
      <c r="I11" s="219" t="str">
        <f ca="1">IF(ISERROR($V11),"",OFFSET('Smelter Look-up'!$H$4,$V11-4,0))</f>
        <v>Singapore</v>
      </c>
      <c r="J11" s="219" t="str">
        <f ca="1">IF(ISERROR($V11),"",OFFSET('Smelter Look-up'!$I$4,$V11-4,0))</f>
        <v>South West</v>
      </c>
      <c r="K11" s="356" t="s">
        <v>15536</v>
      </c>
      <c r="L11" s="218" t="s">
        <v>15540</v>
      </c>
      <c r="M11" s="218" t="s">
        <v>15533</v>
      </c>
      <c r="N11" s="356" t="s">
        <v>15541</v>
      </c>
      <c r="O11" s="220" t="s">
        <v>15541</v>
      </c>
      <c r="P11" s="368" t="s">
        <v>498</v>
      </c>
      <c r="Q11" s="369"/>
      <c r="R11" s="217" t="str">
        <f ca="1">IF(ISERROR($V11),"",OFFSET('Smelter Look-up'!$C$4,$V11-4,0)&amp;"")</f>
        <v>Metalor Technologies (Singapore) Pte., Ltd.</v>
      </c>
      <c r="S11" s="225" t="str">
        <f t="shared" ca="1" si="3"/>
        <v>SG</v>
      </c>
      <c r="T11" s="225" t="str">
        <f ca="1">IF(B11="","",IF(ISERROR(MATCH($J11,SorP!$B$1:$B$6230,0)),"",INDIRECT("'SorP'!$A$"&amp;MATCH($J11,SorP!$B$1:$B$6230,0))))</f>
        <v>SG-05</v>
      </c>
      <c r="U11" s="241"/>
      <c r="V11" s="275">
        <f ca="1">IF(C11="",NA(),MATCH($B11&amp;$C11,'Smelter Look-up'!$J:$J,0))</f>
        <v>156</v>
      </c>
      <c r="W11" s="276"/>
      <c r="X11" s="276">
        <f t="shared" ca="1" si="4"/>
        <v>0</v>
      </c>
      <c r="Y11" s="276"/>
      <c r="Z11" s="276"/>
      <c r="AB11" s="278" t="str">
        <f t="shared" ca="1" si="5"/>
        <v>GoldMetalor Technologies (Singapore) Pte., Ltd.</v>
      </c>
    </row>
    <row r="12" spans="1:34" s="277" customFormat="1" ht="20.100000000000001" customHeight="1">
      <c r="A12" s="217" t="s">
        <v>671</v>
      </c>
      <c r="B12" s="217" t="str">
        <f ca="1">IF(LEN(A12)=0,"",INDEX('Smelter Look-up'!$A:$A,MATCH($A12,'Smelter Look-up'!$E:$E,0)))</f>
        <v>Gold</v>
      </c>
      <c r="C12" s="221" t="str">
        <f ca="1">IF(LEN(A12)=0,"",INDEX('Smelter Look-up'!$C:$C,MATCH($A12,'Smelter Look-up'!$E:$E,0)))</f>
        <v>Asahi Pretec Corp.</v>
      </c>
      <c r="D12" s="221" t="s">
        <v>2410</v>
      </c>
      <c r="E12" s="217" t="str">
        <f ca="1">IF(ISERROR($V12),"",OFFSET('Smelter Look-up'!$D$4,$V12-4,0)&amp;"")</f>
        <v>JAPAN</v>
      </c>
      <c r="F12" s="217" t="str">
        <f ca="1">IF(ISERROR($V12),"",OFFSET('Smelter Look-up'!$E$4,$V12-4,0))</f>
        <v>CID000082</v>
      </c>
      <c r="G12" s="217" t="str">
        <f ca="1">IF(C12=$X$4,"Enter smelter details",IF(ISERROR($V12),"",OFFSET('Smelter Look-up'!$F$4,$V12-4,0)))</f>
        <v>RMI</v>
      </c>
      <c r="H12" s="218" t="s">
        <v>15533</v>
      </c>
      <c r="I12" s="219" t="str">
        <f ca="1">IF(ISERROR($V12),"",OFFSET('Smelter Look-up'!$H$4,$V12-4,0))</f>
        <v>Kobe</v>
      </c>
      <c r="J12" s="219" t="str">
        <f ca="1">IF(ISERROR($V12),"",OFFSET('Smelter Look-up'!$I$4,$V12-4,0))</f>
        <v>Hyogo</v>
      </c>
      <c r="K12" s="218" t="s">
        <v>15533</v>
      </c>
      <c r="L12" s="218" t="s">
        <v>15533</v>
      </c>
      <c r="M12" s="218" t="s">
        <v>15533</v>
      </c>
      <c r="N12" s="218" t="s">
        <v>15542</v>
      </c>
      <c r="O12" s="361" t="s">
        <v>1131</v>
      </c>
      <c r="P12" s="218" t="s">
        <v>499</v>
      </c>
      <c r="Q12" s="370"/>
      <c r="R12" s="217" t="str">
        <f ca="1">IF(ISERROR($V12),"",OFFSET('Smelter Look-up'!$C$4,$V12-4,0)&amp;"")</f>
        <v>Asahi Pretec Corp.</v>
      </c>
      <c r="S12" s="225" t="str">
        <f t="shared" ca="1" si="3"/>
        <v>JP</v>
      </c>
      <c r="T12" s="225" t="str">
        <f ca="1">IF(B12="","",IF(ISERROR(MATCH($J12,SorP!$B$1:$B$6230,0)),"",INDIRECT("'SorP'!$A$"&amp;MATCH($J12,SorP!$B$1:$B$6230,0))))</f>
        <v>JP-28</v>
      </c>
      <c r="U12" s="241"/>
      <c r="V12" s="275">
        <f ca="1">IF(C12="",NA(),MATCH($B12&amp;$C12,'Smelter Look-up'!$J:$J,0))</f>
        <v>24</v>
      </c>
      <c r="W12" s="276"/>
      <c r="X12" s="276">
        <f t="shared" ca="1" si="4"/>
        <v>0</v>
      </c>
      <c r="Y12" s="276"/>
      <c r="Z12" s="276"/>
      <c r="AB12" s="278" t="str">
        <f t="shared" ca="1" si="5"/>
        <v>GoldAsahi Pretec Corp.</v>
      </c>
    </row>
    <row r="13" spans="1:34" s="277" customFormat="1" ht="20.100000000000001" customHeight="1">
      <c r="A13" s="217" t="s">
        <v>731</v>
      </c>
      <c r="B13" s="217" t="str">
        <f ca="1">IF(LEN(A13)=0,"",INDEX('Smelter Look-up'!$A:$A,MATCH($A13,'Smelter Look-up'!$E:$E,0)))</f>
        <v>Gold</v>
      </c>
      <c r="C13" s="221" t="str">
        <f ca="1">IF(LEN(A13)=0,"",INDEX('Smelter Look-up'!$C:$C,MATCH($A13,'Smelter Look-up'!$E:$E,0)))</f>
        <v>Nihon Material Co., Ltd.</v>
      </c>
      <c r="D13" s="221" t="s">
        <v>2259</v>
      </c>
      <c r="E13" s="217" t="str">
        <f ca="1">IF(ISERROR($V13),"",OFFSET('Smelter Look-up'!$D$4,$V13-4,0)&amp;"")</f>
        <v>JAPAN</v>
      </c>
      <c r="F13" s="217" t="str">
        <f ca="1">IF(ISERROR($V13),"",OFFSET('Smelter Look-up'!$E$4,$V13-4,0))</f>
        <v>CID001259</v>
      </c>
      <c r="G13" s="217" t="str">
        <f ca="1">IF(C13=$X$4,"Enter smelter details",IF(ISERROR($V13),"",OFFSET('Smelter Look-up'!$F$4,$V13-4,0)))</f>
        <v>RMI</v>
      </c>
      <c r="H13" s="218" t="s">
        <v>15533</v>
      </c>
      <c r="I13" s="219" t="str">
        <f ca="1">IF(ISERROR($V13),"",OFFSET('Smelter Look-up'!$H$4,$V13-4,0))</f>
        <v>Noda</v>
      </c>
      <c r="J13" s="219" t="str">
        <f ca="1">IF(ISERROR($V13),"",OFFSET('Smelter Look-up'!$I$4,$V13-4,0))</f>
        <v>Chiba</v>
      </c>
      <c r="K13" s="218" t="s">
        <v>15533</v>
      </c>
      <c r="L13" s="218" t="s">
        <v>15533</v>
      </c>
      <c r="M13" s="218" t="s">
        <v>15533</v>
      </c>
      <c r="N13" s="218" t="s">
        <v>15542</v>
      </c>
      <c r="O13" s="361" t="s">
        <v>1131</v>
      </c>
      <c r="P13" s="218" t="s">
        <v>499</v>
      </c>
      <c r="Q13" s="371"/>
      <c r="R13" s="217" t="str">
        <f ca="1">IF(ISERROR($V13),"",OFFSET('Smelter Look-up'!$C$4,$V13-4,0)&amp;"")</f>
        <v>Nihon Material Co., Ltd.</v>
      </c>
      <c r="S13" s="225" t="str">
        <f t="shared" ca="1" si="3"/>
        <v>JP</v>
      </c>
      <c r="T13" s="225" t="str">
        <f ca="1">IF(B13="","",IF(ISERROR(MATCH($J13,SorP!$B$1:$B$6230,0)),"",INDIRECT("'SorP'!$A$"&amp;MATCH($J13,SorP!$B$1:$B$6230,0))))</f>
        <v>JP-12</v>
      </c>
      <c r="U13" s="241"/>
      <c r="V13" s="275">
        <f ca="1">IF(C13="",NA(),MATCH($B13&amp;$C13,'Smelter Look-up'!$J:$J,0))</f>
        <v>175</v>
      </c>
      <c r="W13" s="276"/>
      <c r="X13" s="276">
        <f t="shared" ca="1" si="4"/>
        <v>0</v>
      </c>
      <c r="Y13" s="276"/>
      <c r="Z13" s="276"/>
      <c r="AB13" s="278" t="str">
        <f t="shared" ca="1" si="5"/>
        <v>GoldNihon Material Co., Ltd.</v>
      </c>
    </row>
    <row r="14" spans="1:34" s="277" customFormat="1" ht="20.100000000000001" customHeight="1">
      <c r="A14" s="217" t="s">
        <v>747</v>
      </c>
      <c r="B14" s="217" t="str">
        <f ca="1">IF(LEN(A14)=0,"",INDEX('Smelter Look-up'!$A:$A,MATCH($A14,'Smelter Look-up'!$E:$E,0)))</f>
        <v>Gold</v>
      </c>
      <c r="C14" s="221" t="str">
        <f ca="1">IF(LEN(A14)=0,"",INDEX('Smelter Look-up'!$C:$C,MATCH($A14,'Smelter Look-up'!$E:$E,0)))</f>
        <v>Sumitomo Metal Mining Co., Ltd.</v>
      </c>
      <c r="D14" s="221" t="s">
        <v>60</v>
      </c>
      <c r="E14" s="217" t="str">
        <f ca="1">IF(ISERROR($V14),"",OFFSET('Smelter Look-up'!$D$4,$V14-4,0)&amp;"")</f>
        <v>JAPAN</v>
      </c>
      <c r="F14" s="217" t="str">
        <f ca="1">IF(ISERROR($V14),"",OFFSET('Smelter Look-up'!$E$4,$V14-4,0))</f>
        <v>CID001798</v>
      </c>
      <c r="G14" s="217" t="str">
        <f ca="1">IF(C14=$X$4,"Enter smelter details",IF(ISERROR($V14),"",OFFSET('Smelter Look-up'!$F$4,$V14-4,0)))</f>
        <v>RMI</v>
      </c>
      <c r="H14" s="218" t="s">
        <v>15533</v>
      </c>
      <c r="I14" s="219" t="str">
        <f ca="1">IF(ISERROR($V14),"",OFFSET('Smelter Look-up'!$H$4,$V14-4,0))</f>
        <v>Saijo</v>
      </c>
      <c r="J14" s="219" t="str">
        <f ca="1">IF(ISERROR($V14),"",OFFSET('Smelter Look-up'!$I$4,$V14-4,0))</f>
        <v>Ehime</v>
      </c>
      <c r="K14" s="218" t="s">
        <v>15533</v>
      </c>
      <c r="L14" s="218" t="s">
        <v>15533</v>
      </c>
      <c r="M14" s="218" t="s">
        <v>15533</v>
      </c>
      <c r="N14" s="218" t="s">
        <v>15542</v>
      </c>
      <c r="O14" s="361" t="s">
        <v>1131</v>
      </c>
      <c r="P14" s="218" t="s">
        <v>499</v>
      </c>
      <c r="Q14" s="369"/>
      <c r="R14" s="217" t="str">
        <f ca="1">IF(ISERROR($V14),"",OFFSET('Smelter Look-up'!$C$4,$V14-4,0)&amp;"")</f>
        <v>Sumitomo Metal Mining Co., Ltd.</v>
      </c>
      <c r="S14" s="225" t="str">
        <f t="shared" ca="1" si="3"/>
        <v>JP</v>
      </c>
      <c r="T14" s="225" t="str">
        <f ca="1">IF(B14="","",IF(ISERROR(MATCH($J14,SorP!$B$1:$B$6230,0)),"",INDIRECT("'SorP'!$A$"&amp;MATCH($J14,SorP!$B$1:$B$6230,0))))</f>
        <v>JP-38</v>
      </c>
      <c r="U14" s="241"/>
      <c r="V14" s="275">
        <f ca="1">IF(C14="",NA(),MATCH($B14&amp;$C14,'Smelter Look-up'!$J:$J,0))</f>
        <v>240</v>
      </c>
      <c r="W14" s="276"/>
      <c r="X14" s="276">
        <f t="shared" ca="1" si="4"/>
        <v>0</v>
      </c>
      <c r="Y14" s="276"/>
      <c r="Z14" s="276"/>
      <c r="AB14" s="278" t="str">
        <f t="shared" ca="1" si="5"/>
        <v>GoldSumitomo Metal Mining Co., Ltd.</v>
      </c>
    </row>
    <row r="15" spans="1:34" s="277" customFormat="1" ht="20.100000000000001" customHeight="1">
      <c r="A15" s="217" t="s">
        <v>726</v>
      </c>
      <c r="B15" s="217" t="str">
        <f ca="1">IF(LEN(A15)=0,"",INDEX('Smelter Look-up'!$A:$A,MATCH($A15,'Smelter Look-up'!$E:$E,0)))</f>
        <v>Gold</v>
      </c>
      <c r="C15" s="221" t="str">
        <f ca="1">IF(LEN(A15)=0,"",INDEX('Smelter Look-up'!$C:$C,MATCH($A15,'Smelter Look-up'!$E:$E,0)))</f>
        <v>Mitsubishi Materials Corporation</v>
      </c>
      <c r="D15" s="221" t="s">
        <v>1187</v>
      </c>
      <c r="E15" s="217" t="str">
        <f ca="1">IF(ISERROR($V15),"",OFFSET('Smelter Look-up'!$D$4,$V15-4,0)&amp;"")</f>
        <v>JAPAN</v>
      </c>
      <c r="F15" s="217" t="str">
        <f ca="1">IF(ISERROR($V15),"",OFFSET('Smelter Look-up'!$E$4,$V15-4,0))</f>
        <v>CID001188</v>
      </c>
      <c r="G15" s="217" t="str">
        <f ca="1">IF(C15=$X$4,"Enter smelter details",IF(ISERROR($V15),"",OFFSET('Smelter Look-up'!$F$4,$V15-4,0)))</f>
        <v>RMI</v>
      </c>
      <c r="H15" s="218" t="s">
        <v>15533</v>
      </c>
      <c r="I15" s="219" t="str">
        <f ca="1">IF(ISERROR($V15),"",OFFSET('Smelter Look-up'!$H$4,$V15-4,0))</f>
        <v>Naoshima</v>
      </c>
      <c r="J15" s="219" t="str">
        <f ca="1">IF(ISERROR($V15),"",OFFSET('Smelter Look-up'!$I$4,$V15-4,0))</f>
        <v>Kagawa</v>
      </c>
      <c r="K15" s="218" t="s">
        <v>15533</v>
      </c>
      <c r="L15" s="218" t="s">
        <v>15533</v>
      </c>
      <c r="M15" s="218" t="s">
        <v>15533</v>
      </c>
      <c r="N15" s="218" t="s">
        <v>15542</v>
      </c>
      <c r="O15" s="361" t="s">
        <v>1131</v>
      </c>
      <c r="P15" s="218" t="s">
        <v>499</v>
      </c>
      <c r="Q15" s="369"/>
      <c r="R15" s="217" t="str">
        <f ca="1">IF(ISERROR($V15),"",OFFSET('Smelter Look-up'!$C$4,$V15-4,0)&amp;"")</f>
        <v>Mitsubishi Materials Corporation</v>
      </c>
      <c r="S15" s="225" t="str">
        <f t="shared" ca="1" si="3"/>
        <v>JP</v>
      </c>
      <c r="T15" s="225" t="str">
        <f ca="1">IF(B15="","",IF(ISERROR(MATCH($J15,SorP!$B$1:$B$6230,0)),"",INDIRECT("'SorP'!$A$"&amp;MATCH($J15,SorP!$B$1:$B$6230,0))))</f>
        <v>JP-37</v>
      </c>
      <c r="U15" s="241"/>
      <c r="V15" s="275">
        <f ca="1">IF(C15="",NA(),MATCH($B15&amp;$C15,'Smelter Look-up'!$J:$J,0))</f>
        <v>164</v>
      </c>
      <c r="W15" s="276"/>
      <c r="X15" s="276">
        <f t="shared" ca="1" si="4"/>
        <v>0</v>
      </c>
      <c r="Y15" s="276"/>
      <c r="Z15" s="276"/>
      <c r="AB15" s="278" t="str">
        <f t="shared" ca="1" si="5"/>
        <v>GoldMitsubishi Materials Corporation</v>
      </c>
    </row>
    <row r="16" spans="1:34" s="277" customFormat="1" ht="20.100000000000001" customHeight="1">
      <c r="A16" s="217" t="s">
        <v>720</v>
      </c>
      <c r="B16" s="217" t="str">
        <f ca="1">IF(LEN(A16)=0,"",INDEX('Smelter Look-up'!$A:$A,MATCH($A16,'Smelter Look-up'!$E:$E,0)))</f>
        <v>Gold</v>
      </c>
      <c r="C16" s="221" t="str">
        <f ca="1">IF(LEN(A16)=0,"",INDEX('Smelter Look-up'!$C:$C,MATCH($A16,'Smelter Look-up'!$E:$E,0)))</f>
        <v>Matsuda Sangyo Co., Ltd.</v>
      </c>
      <c r="D16" s="221" t="s">
        <v>59</v>
      </c>
      <c r="E16" s="217" t="str">
        <f ca="1">IF(ISERROR($V16),"",OFFSET('Smelter Look-up'!$D$4,$V16-4,0)&amp;"")</f>
        <v>JAPAN</v>
      </c>
      <c r="F16" s="217" t="str">
        <f ca="1">IF(ISERROR($V16),"",OFFSET('Smelter Look-up'!$E$4,$V16-4,0))</f>
        <v>CID001119</v>
      </c>
      <c r="G16" s="217" t="str">
        <f ca="1">IF(C16=$X$4,"Enter smelter details",IF(ISERROR($V16),"",OFFSET('Smelter Look-up'!$F$4,$V16-4,0)))</f>
        <v>RMI</v>
      </c>
      <c r="H16" s="218" t="s">
        <v>15533</v>
      </c>
      <c r="I16" s="219" t="str">
        <f ca="1">IF(ISERROR($V16),"",OFFSET('Smelter Look-up'!$H$4,$V16-4,0))</f>
        <v>Iruma</v>
      </c>
      <c r="J16" s="219" t="str">
        <f ca="1">IF(ISERROR($V16),"",OFFSET('Smelter Look-up'!$I$4,$V16-4,0))</f>
        <v>Saitama</v>
      </c>
      <c r="K16" s="218" t="s">
        <v>15533</v>
      </c>
      <c r="L16" s="218" t="s">
        <v>15533</v>
      </c>
      <c r="M16" s="218" t="s">
        <v>15533</v>
      </c>
      <c r="N16" s="218" t="s">
        <v>15542</v>
      </c>
      <c r="O16" s="361" t="s">
        <v>1131</v>
      </c>
      <c r="P16" s="218" t="s">
        <v>499</v>
      </c>
      <c r="Q16" s="370"/>
      <c r="R16" s="217" t="str">
        <f ca="1">IF(ISERROR($V16),"",OFFSET('Smelter Look-up'!$C$4,$V16-4,0)&amp;"")</f>
        <v>Matsuda Sangyo Co., Ltd.</v>
      </c>
      <c r="S16" s="225" t="str">
        <f t="shared" ca="1" si="3"/>
        <v>JP</v>
      </c>
      <c r="T16" s="225" t="str">
        <f ca="1">IF(B16="","",IF(ISERROR(MATCH($J16,SorP!$B$1:$B$6230,0)),"",INDIRECT("'SorP'!$A$"&amp;MATCH($J16,SorP!$B$1:$B$6230,0))))</f>
        <v>JP-11</v>
      </c>
      <c r="U16" s="241"/>
      <c r="V16" s="275">
        <f ca="1">IF(C16="",NA(),MATCH($B16&amp;$C16,'Smelter Look-up'!$J:$J,0))</f>
        <v>150</v>
      </c>
      <c r="W16" s="276"/>
      <c r="X16" s="276">
        <f t="shared" ca="1" si="4"/>
        <v>0</v>
      </c>
      <c r="Y16" s="276"/>
      <c r="Z16" s="276"/>
      <c r="AB16" s="278" t="str">
        <f t="shared" ca="1" si="5"/>
        <v>GoldMatsuda Sangyo Co., Ltd.</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356"/>
      <c r="M17" s="218"/>
      <c r="N17" s="359"/>
      <c r="O17" s="217"/>
      <c r="P17" s="360"/>
      <c r="Q17" s="369"/>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IsJ0IjW2zXCvGS5JGN6I/KA7nBUoJQk2x1FXy5XuzJf0jeDblVzWXhVxtezI7zkYgfRk6N80Cqpu192sgoH5tg==" saltValue="MS39vowXhO1lfjnDwUxbdg==" spinCount="100000" sheet="1" objects="1" scenarios="1"/>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97" type="noConversion"/>
  <conditionalFormatting sqref="B586:B2504">
    <cfRule type="expression" dxfId="68" priority="53" stopIfTrue="1">
      <formula>IF(B586="",TRUE)</formula>
    </cfRule>
    <cfRule type="expression" dxfId="67" priority="64" stopIfTrue="1">
      <formula>IF(AND(COUNTIF(MetalSmelter,B586&amp;C586)=0,LEN(C586)&gt;0),TRUE,FALSE)</formula>
    </cfRule>
  </conditionalFormatting>
  <conditionalFormatting sqref="D586:D2504">
    <cfRule type="expression" dxfId="66" priority="47" stopIfTrue="1">
      <formula>IF(AND(LEN($C586)&gt;0,($C586&lt;&gt;"Smelter Not Listed")),1,0)</formula>
    </cfRule>
    <cfRule type="expression" dxfId="65" priority="72" stopIfTrue="1">
      <formula>IF(AND(D586="",$C586=$X$4),TRUE)</formula>
    </cfRule>
    <cfRule type="expression" dxfId="64" priority="73" stopIfTrue="1">
      <formula>IF(FIND("!",D586),TRUE)</formula>
    </cfRule>
  </conditionalFormatting>
  <conditionalFormatting sqref="G586:G2504">
    <cfRule type="expression" dxfId="63" priority="74" stopIfTrue="1">
      <formula>IF(FIND("Enter smelter details",G586),TRUE)</formula>
    </cfRule>
  </conditionalFormatting>
  <conditionalFormatting sqref="R586:R2505 E586:E2504">
    <cfRule type="expression" dxfId="62" priority="60" stopIfTrue="1">
      <formula>IF(AND(E586="",$C586=$X$4),TRUE)</formula>
    </cfRule>
    <cfRule type="expression" dxfId="61" priority="61" stopIfTrue="1">
      <formula>IF(FIND("!",E586),TRUE)</formula>
    </cfRule>
  </conditionalFormatting>
  <conditionalFormatting sqref="F586:F2504">
    <cfRule type="expression" dxfId="60" priority="51" stopIfTrue="1">
      <formula>IF(AND(LEN($A586)&gt;0,$A586&lt;&gt;$F586),TRUE,FALSE)</formula>
    </cfRule>
  </conditionalFormatting>
  <conditionalFormatting sqref="C586:C2504">
    <cfRule type="expression" dxfId="59" priority="50" stopIfTrue="1">
      <formula>IF(AND(B586&lt;&gt;"",C586=""),TRUE)</formula>
    </cfRule>
  </conditionalFormatting>
  <conditionalFormatting sqref="B21:B585 B5:B19">
    <cfRule type="expression" dxfId="58" priority="29" stopIfTrue="1">
      <formula>IF(B5="",TRUE)</formula>
    </cfRule>
    <cfRule type="expression" dxfId="57" priority="32" stopIfTrue="1">
      <formula>IF(AND(COUNTIF(MetalSmelter,B5&amp;C5)=0,LEN(C5)&gt;0),TRUE,FALSE)</formula>
    </cfRule>
  </conditionalFormatting>
  <conditionalFormatting sqref="D17:D19 D21:D585">
    <cfRule type="expression" dxfId="56" priority="26" stopIfTrue="1">
      <formula>IF(AND(LEN($C17)&gt;0,($C17&lt;&gt;"Smelter Not Listed")),1,0)</formula>
    </cfRule>
    <cfRule type="expression" dxfId="55" priority="33" stopIfTrue="1">
      <formula>IF(AND(D17="",$C17=$X$4),TRUE)</formula>
    </cfRule>
    <cfRule type="expression" dxfId="54" priority="34" stopIfTrue="1">
      <formula>IF(FIND("!",D17),TRUE)</formula>
    </cfRule>
  </conditionalFormatting>
  <conditionalFormatting sqref="G5:G19 G21:G585">
    <cfRule type="expression" dxfId="53" priority="35" stopIfTrue="1">
      <formula>IF(FIND("Enter smelter details",G5),TRUE)</formula>
    </cfRule>
  </conditionalFormatting>
  <conditionalFormatting sqref="R5:R585 E5:E19 E21:E585">
    <cfRule type="expression" dxfId="52" priority="30" stopIfTrue="1">
      <formula>IF(AND(E5="",$C5=$X$4),TRUE)</formula>
    </cfRule>
    <cfRule type="expression" dxfId="51" priority="31" stopIfTrue="1">
      <formula>IF(FIND("!",E5),TRUE)</formula>
    </cfRule>
  </conditionalFormatting>
  <conditionalFormatting sqref="F5:F19 F21:F585">
    <cfRule type="expression" dxfId="50" priority="28" stopIfTrue="1">
      <formula>IF(AND(LEN($A5)&gt;0,$A5&lt;&gt;$F5),TRUE,FALSE)</formula>
    </cfRule>
  </conditionalFormatting>
  <conditionalFormatting sqref="C21:C585 C5:C19">
    <cfRule type="expression" dxfId="49" priority="27" stopIfTrue="1">
      <formula>IF(AND(B5&lt;&gt;"",C5=""),TRUE)</formula>
    </cfRule>
  </conditionalFormatting>
  <conditionalFormatting sqref="B20">
    <cfRule type="expression" dxfId="48" priority="19" stopIfTrue="1">
      <formula>IF(B20="",TRUE)</formula>
    </cfRule>
    <cfRule type="expression" dxfId="47" priority="22" stopIfTrue="1">
      <formula>IF(AND(COUNTIF(MetalSmelter,B20&amp;C20)=0,LEN(C20)&gt;0),TRUE,FALSE)</formula>
    </cfRule>
  </conditionalFormatting>
  <conditionalFormatting sqref="D20">
    <cfRule type="expression" dxfId="46" priority="16" stopIfTrue="1">
      <formula>IF(AND(LEN($C20)&gt;0,($C20&lt;&gt;"Smelter Not Listed")),1,0)</formula>
    </cfRule>
    <cfRule type="expression" dxfId="45" priority="23" stopIfTrue="1">
      <formula>IF(AND(D20="",$C20=$X$4),TRUE)</formula>
    </cfRule>
    <cfRule type="expression" dxfId="44" priority="24" stopIfTrue="1">
      <formula>IF(FIND("!",D20),TRUE)</formula>
    </cfRule>
  </conditionalFormatting>
  <conditionalFormatting sqref="G20">
    <cfRule type="expression" dxfId="43" priority="25" stopIfTrue="1">
      <formula>IF(FIND("Enter smelter details",G20),TRUE)</formula>
    </cfRule>
  </conditionalFormatting>
  <conditionalFormatting sqref="E20">
    <cfRule type="expression" dxfId="42" priority="20" stopIfTrue="1">
      <formula>IF(AND(E20="",$C20=$X$4),TRUE)</formula>
    </cfRule>
    <cfRule type="expression" dxfId="41" priority="21" stopIfTrue="1">
      <formula>IF(FIND("!",E20),TRUE)</formula>
    </cfRule>
  </conditionalFormatting>
  <conditionalFormatting sqref="F20">
    <cfRule type="expression" dxfId="40" priority="18" stopIfTrue="1">
      <formula>IF(AND(LEN($A20)&gt;0,$A20&lt;&gt;$F20),TRUE,FALSE)</formula>
    </cfRule>
  </conditionalFormatting>
  <conditionalFormatting sqref="C20">
    <cfRule type="expression" dxfId="39" priority="17" stopIfTrue="1">
      <formula>IF(AND(B20&lt;&gt;"",C20=""),TRUE)</formula>
    </cfRule>
  </conditionalFormatting>
  <conditionalFormatting sqref="A6">
    <cfRule type="expression" dxfId="38" priority="15" stopIfTrue="1">
      <formula>IF(AND(LEN($A6)&gt;0,$A6&lt;&gt;$F6),TRUE,FALSE)</formula>
    </cfRule>
  </conditionalFormatting>
  <conditionalFormatting sqref="A9">
    <cfRule type="expression" dxfId="37" priority="13" stopIfTrue="1">
      <formula>IF(AND(A9="",$C9=$X$4),TRUE)</formula>
    </cfRule>
    <cfRule type="expression" dxfId="36" priority="14" stopIfTrue="1">
      <formula>IF(FIND("!",A9),TRUE)</formula>
    </cfRule>
  </conditionalFormatting>
  <conditionalFormatting sqref="A7">
    <cfRule type="expression" dxfId="35" priority="12" stopIfTrue="1">
      <formula>IF(AND(LEN($A7)&gt;0,$A7&lt;&gt;$F7),TRUE,FALSE)</formula>
    </cfRule>
  </conditionalFormatting>
  <conditionalFormatting sqref="O5:O9">
    <cfRule type="expression" dxfId="34" priority="10" stopIfTrue="1">
      <formula>IF(AND(O5="",$C5=$X$4),TRUE)</formula>
    </cfRule>
    <cfRule type="expression" dxfId="33" priority="11" stopIfTrue="1">
      <formula>IF(FIND("!",O5),TRUE)</formula>
    </cfRule>
  </conditionalFormatting>
  <conditionalFormatting sqref="A10">
    <cfRule type="expression" dxfId="32" priority="9" stopIfTrue="1">
      <formula>IF(AND(LEN($A10)&gt;0,$A10&lt;&gt;$F10),TRUE,FALSE)</formula>
    </cfRule>
  </conditionalFormatting>
  <conditionalFormatting sqref="A12:A16">
    <cfRule type="expression" dxfId="31" priority="8" stopIfTrue="1">
      <formula>IF(AND(LEN($A12)&gt;0,$A12&lt;&gt;$F12),TRUE,FALSE)</formula>
    </cfRule>
  </conditionalFormatting>
  <conditionalFormatting sqref="O17">
    <cfRule type="expression" dxfId="30" priority="6" stopIfTrue="1">
      <formula>IF(AND(O17="",$C17=$X$4),TRUE)</formula>
    </cfRule>
    <cfRule type="expression" dxfId="29" priority="7" stopIfTrue="1">
      <formula>IF(FIND("!",O17),TRUE)</formula>
    </cfRule>
  </conditionalFormatting>
  <conditionalFormatting sqref="O12:O14">
    <cfRule type="expression" dxfId="28" priority="4" stopIfTrue="1">
      <formula>IF(AND(O12="",$C12=$X$4),TRUE)</formula>
    </cfRule>
    <cfRule type="expression" dxfId="27" priority="5" stopIfTrue="1">
      <formula>IF(FIND("!",O12),TRUE)</formula>
    </cfRule>
  </conditionalFormatting>
  <conditionalFormatting sqref="O15:O16">
    <cfRule type="expression" dxfId="26" priority="2" stopIfTrue="1">
      <formula>IF(AND(O15="",$C15=$X$4),TRUE)</formula>
    </cfRule>
    <cfRule type="expression" dxfId="25" priority="3" stopIfTrue="1">
      <formula>IF(FIND("!",O15),TRUE)</formula>
    </cfRule>
  </conditionalFormatting>
  <conditionalFormatting sqref="D5:D16">
    <cfRule type="expression" dxfId="24" priority="1" stopIfTrue="1">
      <formula>IF(AND(C5&lt;&gt;"",D5=""),TRUE)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tabSelected="1" zoomScalePageLayoutView="70" workbookViewId="0">
      <pane xSplit="1" ySplit="3" topLeftCell="B71"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25.5">
      <c r="A1" s="469" t="str">
        <f ca="1">OFFSET(L!$C$1,MATCH("Checker"&amp;ADDRESS(ROW(),COLUMN(),4),L!$A:$A,0)-1,SL,,)</f>
        <v>将报告提交给客户以检查表格高亮显示为红色的任何行之前， 请确保已填妥所有必填字段。</v>
      </c>
      <c r="B1" s="469"/>
      <c r="C1" s="469"/>
      <c r="D1" s="146" t="str">
        <f ca="1">OFFSET(L!$C$1,MATCH("Checker"&amp;ADDRESS(ROW(),COLUMN(),4),L!$A:$A,0)-1,SL,,)</f>
        <v>待完成的必填字段</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必填字段</v>
      </c>
      <c r="B3" s="79" t="str">
        <f ca="1">OFFSET(L!$C$1,MATCH("Checker"&amp;ADDRESS(ROW(),COLUMN(),4),L!$A:$A,0)-1,SL,,)</f>
        <v>已提供的答案</v>
      </c>
      <c r="C3" s="79" t="str">
        <f ca="1">OFFSET(L!$C$1,MATCH("Checker"&amp;ADDRESS(ROW(),COLUMN(),4),L!$A:$A,0)-1,SL,,)</f>
        <v>备注</v>
      </c>
      <c r="D3" s="79" t="str">
        <f ca="1">OFFSET(L!$C$1,MATCH("Checker"&amp;ADDRESS(ROW(),COLUMN(),4),L!$A:$A,0)-1,SL,,)</f>
        <v>信息源超链接</v>
      </c>
      <c r="F3" s="80" t="s">
        <v>537</v>
      </c>
      <c r="G3" s="22" t="s">
        <v>536</v>
      </c>
      <c r="H3" s="22" t="s">
        <v>538</v>
      </c>
      <c r="I3" s="178" t="s">
        <v>1340</v>
      </c>
      <c r="J3" s="22" t="s">
        <v>1341</v>
      </c>
    </row>
    <row r="4" spans="1:10" ht="39">
      <c r="A4" s="103" t="str">
        <f ca="1">Declaration!B8</f>
        <v>公司名称 (*)：</v>
      </c>
      <c r="B4" s="102" t="str">
        <f>Declaration!D8</f>
        <v>Leshan Radio Company,Ltd</v>
      </c>
      <c r="C4" s="102" t="str">
        <f t="shared" ref="C4" ca="1" si="0">IF(H4=1,J4,I4)</f>
        <v>填写</v>
      </c>
      <c r="D4" s="108" t="str">
        <f>IF(H4=1,"Click here to enter Company Name","")</f>
        <v/>
      </c>
      <c r="E4" s="84" t="s">
        <v>1330</v>
      </c>
      <c r="F4" s="106">
        <v>1</v>
      </c>
      <c r="G4" s="81">
        <f t="shared" ref="G4" si="1">IF(B4=0,1,0)</f>
        <v>0</v>
      </c>
      <c r="H4" s="82">
        <f>F4*G4</f>
        <v>0</v>
      </c>
      <c r="I4" s="179" t="str">
        <f ca="1">OFFSET(L!$C$1,MATCH("Checker"&amp;"Comp",L!$A:$A,0)-1,SL,,)</f>
        <v>填写</v>
      </c>
      <c r="J4" s="180" t="str">
        <f ca="1">OFFSET(L!$C$1,MATCH("Checker"&amp;ADDRESS(ROW(),COLUMN(),4),L!$A:$A,0)-1,SL,,)</f>
        <v>在“申报”选项卡 D8 单元格中，提供贵公司的名称</v>
      </c>
    </row>
    <row r="5" spans="1:10" ht="39">
      <c r="A5" s="103" t="str">
        <f ca="1">Declaration!B9</f>
        <v>申报范围或种类 (*)：</v>
      </c>
      <c r="B5" s="102" t="str">
        <f>Declaration!D9</f>
        <v>A. Company</v>
      </c>
      <c r="C5" s="102" t="str">
        <f ca="1">IF(H5=1,J5,I5)</f>
        <v>填写</v>
      </c>
      <c r="D5" s="108" t="str">
        <f>IF(H5=1,"Click here to enter Declaration Scope","")</f>
        <v/>
      </c>
      <c r="E5" s="84" t="s">
        <v>1330</v>
      </c>
      <c r="F5" s="106">
        <v>1</v>
      </c>
      <c r="G5" s="81">
        <f>IF(B5=0,1,0)</f>
        <v>0</v>
      </c>
      <c r="H5" s="82">
        <f t="shared" ref="H5" si="2">F5*G5</f>
        <v>0</v>
      </c>
      <c r="I5" s="179" t="str">
        <f ca="1">OFFSET(L!$C$1,MATCH("Checker"&amp;"Comp",L!$A:$A,0)-1,SL,,)</f>
        <v>填写</v>
      </c>
      <c r="J5" s="180" t="str">
        <f ca="1">OFFSET(L!$C$1,MATCH("Checker"&amp;ADDRESS(ROW(),COLUMN(),4),L!$A:$A,0)-1,SL,,)</f>
        <v>在“申报”选项卡 D9 单元格中，选择申报范围</v>
      </c>
    </row>
    <row r="6" spans="1:10" ht="39">
      <c r="A6" s="103" t="str">
        <f ca="1">Declaration!B10</f>
        <v>范围描述：</v>
      </c>
      <c r="B6" s="102">
        <f>Declaration!D10</f>
        <v>0</v>
      </c>
      <c r="C6" s="102" t="str">
        <f ca="1">IF(H6=1,J6,I6)</f>
        <v>填写</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填写</v>
      </c>
      <c r="J6" s="22" t="str">
        <f ca="1">OFFSET(L!$C$1,MATCH("Checker"&amp;ADDRESS(ROW(),COLUMN(),4),L!$A:$A,0)-1,SL,,)</f>
        <v>在“申报”选项卡 D10 单元格中，提供范围说明</v>
      </c>
    </row>
    <row r="7" spans="1:10" ht="39">
      <c r="A7" s="103" t="str">
        <f ca="1">Declaration!B15</f>
        <v>联系人姓名 (*)：</v>
      </c>
      <c r="B7" s="102" t="str">
        <f>Declaration!D15</f>
        <v>Xie Juan</v>
      </c>
      <c r="C7" s="102" t="str">
        <f ca="1">IF(H7=1,J7,I7)</f>
        <v>填写</v>
      </c>
      <c r="D7" s="108" t="str">
        <f>IF(H7=1,"Click here to enter Contact Name","")</f>
        <v/>
      </c>
      <c r="E7" s="84" t="s">
        <v>1330</v>
      </c>
      <c r="F7" s="149">
        <v>1</v>
      </c>
      <c r="G7" s="81">
        <f>IF(B7=0,1,0)</f>
        <v>0</v>
      </c>
      <c r="H7" s="82">
        <f t="shared" si="3"/>
        <v>0</v>
      </c>
      <c r="I7" s="179" t="str">
        <f ca="1">OFFSET(L!$C$1,MATCH("Checker"&amp;"Comp",L!$A:$A,0)-1,SL,,)</f>
        <v>填写</v>
      </c>
      <c r="J7" s="22" t="str">
        <f ca="1">OFFSET(L!$C$1,MATCH("Checker"&amp;ADDRESS(ROW(),COLUMN(),4),L!$A:$A,0)-1,SL,,)</f>
        <v>在“申报”选项卡 D15 单元格中，提供联系人姓名</v>
      </c>
    </row>
    <row r="8" spans="1:10" ht="39">
      <c r="A8" s="103" t="str">
        <f ca="1">Declaration!B16</f>
        <v>电子邮件 - 联系人 (*)：</v>
      </c>
      <c r="B8" s="102" t="str">
        <f>Declaration!D16</f>
        <v>qacs@lrc.cn</v>
      </c>
      <c r="C8" s="102" t="str">
        <f ca="1">IF(H8=1,J8,I8)</f>
        <v>填写</v>
      </c>
      <c r="D8" s="108" t="str">
        <f>IF(H8=1,"Click here to enter Email-Contact","")</f>
        <v/>
      </c>
      <c r="E8" s="84" t="s">
        <v>1330</v>
      </c>
      <c r="F8" s="149">
        <v>1</v>
      </c>
      <c r="G8" s="81">
        <f>IF(ISNUMBER(SEARCH("@",B8)),0,1)</f>
        <v>0</v>
      </c>
      <c r="H8" s="82">
        <f t="shared" si="3"/>
        <v>0</v>
      </c>
      <c r="I8" s="179" t="str">
        <f ca="1">OFFSET(L!$C$1,MATCH("Checker"&amp;"Comp",L!$A:$A,0)-1,SL,,)</f>
        <v>填写</v>
      </c>
      <c r="J8" s="22" t="str">
        <f ca="1">OFFSET(L!$C$1,MATCH("Checker"&amp;ADDRESS(ROW(),COLUMN(),4),L!$A:$A,0)-1,SL,,)</f>
        <v>在“申报”选项卡 D16 单元格中，提供联系人的有效电子邮件</v>
      </c>
    </row>
    <row r="9" spans="1:10" ht="39">
      <c r="A9" s="103" t="str">
        <f ca="1">Declaration!B17</f>
        <v>电话 - 联系人 (*)：</v>
      </c>
      <c r="B9" s="102" t="str">
        <f>Declaration!D17</f>
        <v xml:space="preserve"> 86-0833-2150321 </v>
      </c>
      <c r="C9" s="102" t="str">
        <f ca="1">IF(H9=1,J9,I9)</f>
        <v>填写</v>
      </c>
      <c r="D9" s="108" t="str">
        <f>IF(H9=1,"Click here to enter Phone-Contact","")</f>
        <v/>
      </c>
      <c r="E9" s="84" t="s">
        <v>1330</v>
      </c>
      <c r="F9" s="149">
        <v>1</v>
      </c>
      <c r="G9" s="81">
        <f>IF(B9=0,1,0)</f>
        <v>0</v>
      </c>
      <c r="H9" s="82">
        <f t="shared" si="3"/>
        <v>0</v>
      </c>
      <c r="I9" s="179" t="str">
        <f ca="1">OFFSET(L!$C$1,MATCH("Checker"&amp;"Comp",L!$A:$A,0)-1,SL,,)</f>
        <v>填写</v>
      </c>
      <c r="J9" s="22" t="str">
        <f ca="1">OFFSET(L!$C$1,MATCH("Checker"&amp;ADDRESS(ROW(),COLUMN(),4),L!$A:$A,0)-1,SL,,)</f>
        <v>在“申报”选项卡 D17 单元格中，提供联系人的电话号码</v>
      </c>
    </row>
    <row r="10" spans="1:10" ht="39">
      <c r="A10" s="103" t="str">
        <f ca="1">Declaration!B18</f>
        <v>授权人 (*)：</v>
      </c>
      <c r="B10" s="102" t="str">
        <f>Declaration!D18</f>
        <v>ChenPeng</v>
      </c>
      <c r="C10" s="102" t="str">
        <f t="shared" ref="C10" ca="1" si="4">IF(H10=1,J10,I10)</f>
        <v>填写</v>
      </c>
      <c r="D10" s="108" t="str">
        <f>IF(H10=1,"Click here to enter an Authorized Company Representative's name","")</f>
        <v/>
      </c>
      <c r="E10" s="84" t="s">
        <v>1330</v>
      </c>
      <c r="F10" s="106">
        <v>1</v>
      </c>
      <c r="G10" s="81">
        <f t="shared" ref="G10" si="5">IF(B10=0,1,0)</f>
        <v>0</v>
      </c>
      <c r="H10" s="82">
        <f t="shared" si="3"/>
        <v>0</v>
      </c>
      <c r="I10" s="179" t="str">
        <f ca="1">OFFSET(L!$C$1,MATCH("Checker"&amp;"Comp",L!$A:$A,0)-1,SL,,)</f>
        <v>填写</v>
      </c>
      <c r="J10" s="22" t="str">
        <f ca="1">OFFSET(L!$C$1,MATCH("Checker"&amp;ADDRESS(ROW(),COLUMN(),4),L!$A:$A,0)-1,SL,,)</f>
        <v>在“申报”选项卡 D18 单元格中，提供授权公司代表联系人姓名</v>
      </c>
    </row>
    <row r="11" spans="1:10" ht="39">
      <c r="A11" s="103" t="str">
        <f ca="1">Declaration!B20</f>
        <v>电子邮件 - 授权人 (*)：</v>
      </c>
      <c r="B11" s="102" t="str">
        <f>Declaration!D20</f>
        <v>qacs@lrc.cn</v>
      </c>
      <c r="C11" s="102" t="str">
        <f ca="1">IF(H11=1,J11,I11)</f>
        <v>填写</v>
      </c>
      <c r="D11" s="108" t="str">
        <f>IF(H11=1,"Click here to enter Representative's email","")</f>
        <v/>
      </c>
      <c r="E11" s="84" t="s">
        <v>1330</v>
      </c>
      <c r="F11" s="106">
        <v>1</v>
      </c>
      <c r="G11" s="81">
        <f>IF(ISNUMBER(SEARCH("@",B11)),0,1)</f>
        <v>0</v>
      </c>
      <c r="H11" s="82">
        <f t="shared" si="3"/>
        <v>0</v>
      </c>
      <c r="I11" s="179" t="str">
        <f ca="1">OFFSET(L!$C$1,MATCH("Checker"&amp;"Comp",L!$A:$A,0)-1,SL,,)</f>
        <v>填写</v>
      </c>
      <c r="J11" s="22" t="str">
        <f ca="1">OFFSET(L!$C$1,MATCH("Checker"&amp;ADDRESS(ROW(),COLUMN(),4),L!$A:$A,0)-1,SL,,)</f>
        <v>在“申报”选项卡 D20 单元格中，提供授权公司代表的有效电子邮件</v>
      </c>
    </row>
    <row r="12" spans="1:10" ht="39">
      <c r="A12" s="103" t="str">
        <f ca="1">Declaration!B22</f>
        <v>生效日期 (*)：</v>
      </c>
      <c r="B12" s="104">
        <f>Declaration!D22</f>
        <v>43976</v>
      </c>
      <c r="C12" s="102" t="str">
        <f ca="1">IF(H12=1,J12,I12)</f>
        <v>填写</v>
      </c>
      <c r="D12" s="108" t="str">
        <f>IF(H12=1,"Click here to enter Date of Completion","")</f>
        <v/>
      </c>
      <c r="E12" s="84" t="s">
        <v>1330</v>
      </c>
      <c r="F12" s="106">
        <v>1</v>
      </c>
      <c r="G12" s="81">
        <f>IF(B12=0,1,0)</f>
        <v>0</v>
      </c>
      <c r="H12" s="82">
        <f t="shared" si="3"/>
        <v>0</v>
      </c>
      <c r="I12" s="179" t="str">
        <f ca="1">OFFSET(L!$C$1,MATCH("Checker"&amp;"Comp",L!$A:$A,0)-1,SL,,)</f>
        <v>填写</v>
      </c>
      <c r="J12" s="22" t="str">
        <f ca="1">OFFSET(L!$C$1,MATCH("Checker"&amp;ADDRESS(ROW(),COLUMN(),4),L!$A:$A,0)-1,SL,,)</f>
        <v>在“申报”选项卡 D22 单元格中，提供表格填写日期</v>
      </c>
    </row>
    <row r="13" spans="1:10" ht="63.75">
      <c r="A13" s="102" t="str">
        <f ca="1">Declaration!B25</f>
        <v>1) 是否在产品或生产流程中有意添加或使用任何 3TG？(*)</v>
      </c>
      <c r="B13" s="105"/>
      <c r="C13" s="105"/>
      <c r="D13" s="109"/>
      <c r="E13" s="84" t="s">
        <v>831</v>
      </c>
      <c r="F13" s="106"/>
      <c r="G13" s="24"/>
      <c r="H13" s="83">
        <f t="shared" si="3"/>
        <v>0</v>
      </c>
    </row>
    <row r="14" spans="1:10" ht="26.25">
      <c r="A14" s="103" t="str">
        <f ca="1">Declaration!B26</f>
        <v>钽</v>
      </c>
      <c r="B14" s="102" t="str">
        <f>Declaration!D26</f>
        <v>No</v>
      </c>
      <c r="C14" s="102" t="str">
        <f ca="1">IF(H14=1,J14,I14)</f>
        <v>填写</v>
      </c>
      <c r="D14" s="108" t="str">
        <f>IF(H14=1,"Click here to answer question 1 for Tantalum","")</f>
        <v/>
      </c>
      <c r="E14" s="84" t="s">
        <v>827</v>
      </c>
      <c r="F14" s="106">
        <v>1</v>
      </c>
      <c r="G14" s="81">
        <f>IF(B14=0,1,0)</f>
        <v>0</v>
      </c>
      <c r="H14" s="82">
        <f t="shared" si="3"/>
        <v>0</v>
      </c>
      <c r="I14" s="179" t="str">
        <f ca="1">OFFSET(L!$C$1,MATCH("Checker"&amp;"Comp",L!$A:$A,0)-1,SL,,)</f>
        <v>填写</v>
      </c>
      <c r="J14" s="180" t="str">
        <f ca="1">OFFSET(L!$C$1,MATCH("Checker"&amp;ADDRESS(ROW(),COLUMN(),4),L!$A:$A,0)-1,SL,,)</f>
        <v>在“申报”选项卡 D26 单元格中，申报是否有意将钽添加至贵公司的产品中</v>
      </c>
    </row>
    <row r="15" spans="1:10" ht="39">
      <c r="A15" s="103" t="str">
        <f ca="1">Declaration!B27</f>
        <v>锡(*)</v>
      </c>
      <c r="B15" s="102" t="str">
        <f>Declaration!D27</f>
        <v>Yes</v>
      </c>
      <c r="C15" s="102" t="str">
        <f ca="1">IF(H15=1,J15,I15)</f>
        <v>填写</v>
      </c>
      <c r="D15" s="108" t="str">
        <f>IF(H15=1,"Click here to answer question 1 for Tin","")</f>
        <v/>
      </c>
      <c r="E15" s="84" t="s">
        <v>828</v>
      </c>
      <c r="F15" s="106">
        <v>1</v>
      </c>
      <c r="G15" s="81">
        <f>IF(B15=0,1,0)</f>
        <v>0</v>
      </c>
      <c r="H15" s="82">
        <f t="shared" si="3"/>
        <v>0</v>
      </c>
      <c r="I15" s="179" t="str">
        <f ca="1">OFFSET(L!$C$1,MATCH("Checker"&amp;"Comp",L!$A:$A,0)-1,SL,,)</f>
        <v>填写</v>
      </c>
      <c r="J15" s="180" t="str">
        <f ca="1">OFFSET(L!$C$1,MATCH("Checker"&amp;ADDRESS(ROW(),COLUMN(),4),L!$A:$A,0)-1,SL,,)</f>
        <v>在“申报”选项卡 D27 单元格中，申报是否有意将锡添加至贵公司的产品中</v>
      </c>
    </row>
    <row r="16" spans="1:10" ht="39">
      <c r="A16" s="103" t="str">
        <f ca="1">Declaration!B28</f>
        <v>金(*)</v>
      </c>
      <c r="B16" s="102" t="str">
        <f>Declaration!D28</f>
        <v>Yes</v>
      </c>
      <c r="C16" s="102" t="str">
        <f ca="1">IF(H16=1,J16,I16)</f>
        <v>填写</v>
      </c>
      <c r="D16" s="108" t="str">
        <f>IF(H16=1,"Click here to answer question 1 for Gold","")</f>
        <v/>
      </c>
      <c r="E16" s="84" t="s">
        <v>828</v>
      </c>
      <c r="F16" s="106">
        <v>1</v>
      </c>
      <c r="G16" s="81">
        <f>IF(B16=0,1,0)</f>
        <v>0</v>
      </c>
      <c r="H16" s="82">
        <f t="shared" si="3"/>
        <v>0</v>
      </c>
      <c r="I16" s="179" t="str">
        <f ca="1">OFFSET(L!$C$1,MATCH("Checker"&amp;"Comp",L!$A:$A,0)-1,SL,,)</f>
        <v>填写</v>
      </c>
      <c r="J16" s="180" t="str">
        <f ca="1">OFFSET(L!$C$1,MATCH("Checker"&amp;ADDRESS(ROW(),COLUMN(),4),L!$A:$A,0)-1,SL,,)</f>
        <v>在“申报”选项卡 D28 单元格中，申报是否有意将金添加至贵公司的产品中</v>
      </c>
    </row>
    <row r="17" spans="1:10" ht="39">
      <c r="A17" s="103" t="str">
        <f ca="1">Declaration!B29</f>
        <v>钨</v>
      </c>
      <c r="B17" s="102" t="str">
        <f>Declaration!D29</f>
        <v>No</v>
      </c>
      <c r="C17" s="102" t="str">
        <f ca="1">IF(H17=1,J17,I17)</f>
        <v>填写</v>
      </c>
      <c r="D17" s="108" t="str">
        <f>IF(H17=1,"Click here to answer question 1 for Tungsten","")</f>
        <v/>
      </c>
      <c r="E17" s="84" t="s">
        <v>828</v>
      </c>
      <c r="F17" s="106">
        <v>1</v>
      </c>
      <c r="G17" s="81">
        <f>IF(B17=0,1,0)</f>
        <v>0</v>
      </c>
      <c r="H17" s="82">
        <f t="shared" si="3"/>
        <v>0</v>
      </c>
      <c r="I17" s="179" t="str">
        <f ca="1">OFFSET(L!$C$1,MATCH("Checker"&amp;"Comp",L!$A:$A,0)-1,SL,,)</f>
        <v>填写</v>
      </c>
      <c r="J17" s="180" t="str">
        <f ca="1">OFFSET(L!$C$1,MATCH("Checker"&amp;ADDRESS(ROW(),COLUMN(),4),L!$A:$A,0)-1,SL,,)</f>
        <v>在“申报”选项卡 D29 单元格中，申报是否有意将钨添加至贵公司的产品中</v>
      </c>
    </row>
    <row r="18" spans="1:10" ht="51">
      <c r="A18" s="102" t="str">
        <f ca="1">Declaration!B31</f>
        <v>2) 是否有任何 3TG 仍存在于产品中？ (*)</v>
      </c>
      <c r="B18" s="105"/>
      <c r="C18" s="105"/>
      <c r="D18" s="109"/>
      <c r="E18" s="84" t="s">
        <v>829</v>
      </c>
      <c r="F18" s="106"/>
      <c r="G18" s="24"/>
      <c r="H18" s="24"/>
      <c r="J18" s="180"/>
    </row>
    <row r="19" spans="1:10" ht="39">
      <c r="A19" s="103" t="str">
        <f ca="1">Declaration!B32</f>
        <v>钽</v>
      </c>
      <c r="B19" s="102">
        <f>IF($B$14="Yes",Declaration!D32,0)</f>
        <v>0</v>
      </c>
      <c r="C19" s="102" t="str">
        <f ca="1">IF(H19=1,J19,I19)</f>
        <v>填写</v>
      </c>
      <c r="D19" s="110" t="str">
        <f>IF(H19=1,"Click here to answer question 2 for Tantalum","")</f>
        <v/>
      </c>
      <c r="E19" s="84" t="s">
        <v>828</v>
      </c>
      <c r="F19" s="107">
        <f>IF(B$14="No",0,1)</f>
        <v>0</v>
      </c>
      <c r="G19" s="81">
        <f>IF(B19=0,1,0)</f>
        <v>1</v>
      </c>
      <c r="H19" s="82">
        <f>F19*G19</f>
        <v>0</v>
      </c>
      <c r="I19" s="179" t="str">
        <f ca="1">OFFSET(L!$C$1,MATCH("Checker"&amp;"Comp",L!$A:$A,0)-1,SL,,)</f>
        <v>填写</v>
      </c>
      <c r="J19" s="180" t="str">
        <f ca="1">OFFSET(L!$C$1,MATCH("Checker"&amp;ADDRESS(ROW(),COLUMN(),4),L!$A:$A,0)-1,SL,,)</f>
        <v>在“申报”选项卡 D32 单元格中，申报钽是否必须用于贵公司产品的生产中，并且包含在申报的成品内</v>
      </c>
    </row>
    <row r="20" spans="1:10" ht="39">
      <c r="A20" s="103" t="str">
        <f ca="1">Declaration!B33</f>
        <v>锡(*)</v>
      </c>
      <c r="B20" s="102" t="str">
        <f>IF($B$15="Yes",Declaration!D33,0)</f>
        <v>Yes</v>
      </c>
      <c r="C20" s="102" t="str">
        <f ca="1">IF(H20=1,J20,I20)</f>
        <v>填写</v>
      </c>
      <c r="D20" s="110" t="str">
        <f>IF(H20=1,"Click here to answer question 2 for Tin","")</f>
        <v/>
      </c>
      <c r="E20" s="84" t="s">
        <v>828</v>
      </c>
      <c r="F20" s="107">
        <f>IF(B$15="No",0,1)</f>
        <v>1</v>
      </c>
      <c r="G20" s="81">
        <f>IF(B20=0,1,0)</f>
        <v>0</v>
      </c>
      <c r="H20" s="82">
        <f>F20*G20</f>
        <v>0</v>
      </c>
      <c r="I20" s="179" t="str">
        <f ca="1">OFFSET(L!$C$1,MATCH("Checker"&amp;"Comp",L!$A:$A,0)-1,SL,,)</f>
        <v>填写</v>
      </c>
      <c r="J20" s="180" t="str">
        <f ca="1">OFFSET(L!$C$1,MATCH("Checker"&amp;ADDRESS(ROW(),COLUMN(),4),L!$A:$A,0)-1,SL,,)</f>
        <v>在“申报”选项卡 D33 单元格中，申报锡是否必须用于贵公司产品的生产中，并且包含在申报的成品内</v>
      </c>
    </row>
    <row r="21" spans="1:10" ht="39">
      <c r="A21" s="103" t="str">
        <f ca="1">Declaration!B34</f>
        <v>金(*)</v>
      </c>
      <c r="B21" s="102" t="str">
        <f>IF($B$16="Yes",Declaration!D34,0)</f>
        <v>Yes</v>
      </c>
      <c r="C21" s="102" t="str">
        <f ca="1">IF(H21=1,J21,I21)</f>
        <v>填写</v>
      </c>
      <c r="D21" s="110" t="str">
        <f>IF(H21=1,"Click here to answer question 2 for Gold","")</f>
        <v/>
      </c>
      <c r="E21" s="84" t="s">
        <v>828</v>
      </c>
      <c r="F21" s="107">
        <f>IF(B$16="No",0,1)</f>
        <v>1</v>
      </c>
      <c r="G21" s="81">
        <f>IF(B21=0,1,0)</f>
        <v>0</v>
      </c>
      <c r="H21" s="82">
        <f>F21*G21</f>
        <v>0</v>
      </c>
      <c r="I21" s="179" t="str">
        <f ca="1">OFFSET(L!$C$1,MATCH("Checker"&amp;"Comp",L!$A:$A,0)-1,SL,,)</f>
        <v>填写</v>
      </c>
      <c r="J21" s="180" t="str">
        <f ca="1">OFFSET(L!$C$1,MATCH("Checker"&amp;ADDRESS(ROW(),COLUMN(),4),L!$A:$A,0)-1,SL,,)</f>
        <v>在“申报”选项卡 D34 单元格中，申报金是否必须用于贵公司产品的生产中，并且包含在申报的成品内</v>
      </c>
    </row>
    <row r="22" spans="1:10" ht="39">
      <c r="A22" s="103" t="str">
        <f ca="1">Declaration!B35</f>
        <v>钨</v>
      </c>
      <c r="B22" s="102">
        <f>IF($B$17="Yes",Declaration!D35,0)</f>
        <v>0</v>
      </c>
      <c r="C22" s="102" t="str">
        <f ca="1">IF(H22=1,J22,I22)</f>
        <v>填写</v>
      </c>
      <c r="D22" s="110" t="str">
        <f>IF(H22=1,"Click here to answer question 2 for Tungsten","")</f>
        <v/>
      </c>
      <c r="E22" s="84" t="s">
        <v>828</v>
      </c>
      <c r="F22" s="107">
        <f>IF(B$17="No",0,1)</f>
        <v>0</v>
      </c>
      <c r="G22" s="81">
        <f>IF(B22=0,1,0)</f>
        <v>1</v>
      </c>
      <c r="H22" s="82">
        <f>F22*G22</f>
        <v>0</v>
      </c>
      <c r="I22" s="179" t="str">
        <f ca="1">OFFSET(L!$C$1,MATCH("Checker"&amp;"Comp",L!$A:$A,0)-1,SL,,)</f>
        <v>填写</v>
      </c>
      <c r="J22" s="180" t="str">
        <f ca="1">OFFSET(L!$C$1,MATCH("Checker"&amp;ADDRESS(ROW(),COLUMN(),4),L!$A:$A,0)-1,SL,,)</f>
        <v>在“申报”选项卡 D35 单元格中，申报钨是否必须用于贵公司产品的生产中，并且包含在申报的成品内</v>
      </c>
    </row>
    <row r="23" spans="1:10" ht="57.75" customHeight="1">
      <c r="A23" s="102" t="str">
        <f ca="1">Declaration!B37</f>
        <v>3) 贵公司供应链中的冶炼厂是否从所指明的国家采购 3TG？（有关术语“SEC”，请参见定义选项卡） (*)</v>
      </c>
      <c r="B23" s="105"/>
      <c r="C23" s="105"/>
      <c r="D23" s="109"/>
      <c r="E23" s="84" t="s">
        <v>828</v>
      </c>
      <c r="F23" s="106"/>
      <c r="G23" s="24"/>
      <c r="H23" s="24"/>
      <c r="J23" s="180"/>
    </row>
    <row r="24" spans="1:10" ht="39">
      <c r="A24" s="103" t="str">
        <f ca="1">Declaration!B38</f>
        <v>钽</v>
      </c>
      <c r="B24" s="102">
        <f>IF(AND($B$14="Yes",$B$19="Yes"),Declaration!D38,0)</f>
        <v>0</v>
      </c>
      <c r="C24" s="102" t="str">
        <f ca="1">IF(H24=1,J24,I24)</f>
        <v>填写</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填写</v>
      </c>
      <c r="J24" s="22" t="str">
        <f ca="1">OFFSET(L!$C$1,MATCH("Checker"&amp;ADDRESS(ROW(),COLUMN(),4),L!$A:$A,0)-1,SL,,)</f>
        <v>在“申报”选项卡 D38 单元格中，申报在此调查回答里申报的产品范围内所用钽的原产地是否为刚果民主共和国或毗邻国家或地区</v>
      </c>
    </row>
    <row r="25" spans="1:10" ht="39">
      <c r="A25" s="103" t="str">
        <f ca="1">Declaration!B39</f>
        <v>锡(*)</v>
      </c>
      <c r="B25" s="102" t="str">
        <f>IF(AND($B$15="Yes",$B$20="Yes"),Declaration!D39,0)</f>
        <v>No</v>
      </c>
      <c r="C25" s="102" t="str">
        <f ca="1">IF(H25=1,J25,I25)</f>
        <v>填写</v>
      </c>
      <c r="D25" s="110" t="str">
        <f>IF(H25=1,"Click here to answer question 3 for Tin","")</f>
        <v/>
      </c>
      <c r="E25" s="84" t="s">
        <v>828</v>
      </c>
      <c r="F25" s="107">
        <f>IF(OR(B15="No",B20="No"),0,1)</f>
        <v>1</v>
      </c>
      <c r="G25" s="81">
        <f>IF(B25=0,1,0)</f>
        <v>0</v>
      </c>
      <c r="H25" s="82">
        <f>F25*G25</f>
        <v>0</v>
      </c>
      <c r="I25" s="179" t="str">
        <f ca="1">OFFSET(L!$C$1,MATCH("Checker"&amp;"Comp",L!$A:$A,0)-1,SL,,)</f>
        <v>填写</v>
      </c>
      <c r="J25" s="22" t="str">
        <f ca="1">OFFSET(L!$C$1,MATCH("Checker"&amp;ADDRESS(ROW(),COLUMN(),4),L!$A:$A,0)-1,SL,,)</f>
        <v>在“申报”选项卡 D39 单元格中，申报在此调查回答里申报的产品范围内所用锡的原产地是否为刚果民主共和国或毗邻国家或地区</v>
      </c>
    </row>
    <row r="26" spans="1:10" ht="39">
      <c r="A26" s="103" t="str">
        <f ca="1">Declaration!B40</f>
        <v>金(*)</v>
      </c>
      <c r="B26" s="102" t="str">
        <f>IF(AND($B$16="Yes",$B$21="Yes"),Declaration!D40,0)</f>
        <v>No</v>
      </c>
      <c r="C26" s="102" t="str">
        <f ca="1">IF(H26=1,J26,I26)</f>
        <v>填写</v>
      </c>
      <c r="D26" s="110" t="str">
        <f>IF(H26=1,"Click here to answer question 3 for Gold","")</f>
        <v/>
      </c>
      <c r="E26" s="84" t="s">
        <v>828</v>
      </c>
      <c r="F26" s="107">
        <f>IF(OR(B16="No",B21="No"),0,1)</f>
        <v>1</v>
      </c>
      <c r="G26" s="81">
        <f>IF(B26=0,1,0)</f>
        <v>0</v>
      </c>
      <c r="H26" s="82">
        <f>F26*G26</f>
        <v>0</v>
      </c>
      <c r="I26" s="179" t="str">
        <f ca="1">OFFSET(L!$C$1,MATCH("Checker"&amp;"Comp",L!$A:$A,0)-1,SL,,)</f>
        <v>填写</v>
      </c>
      <c r="J26" s="22" t="str">
        <f ca="1">OFFSET(L!$C$1,MATCH("Checker"&amp;ADDRESS(ROW(),COLUMN(),4),L!$A:$A,0)-1,SL,,)</f>
        <v>在“申报”选项卡 D40 单元格中，申报在此调查回答里申报的产品范围内所用金的原产地是否为刚果民主共和国或毗邻国家或地区</v>
      </c>
    </row>
    <row r="27" spans="1:10" ht="39">
      <c r="A27" s="103" t="str">
        <f ca="1">Declaration!B41</f>
        <v>钨</v>
      </c>
      <c r="B27" s="102">
        <f>IF(AND($B$17="Yes",$B$22="Yes"),Declaration!D41,0)</f>
        <v>0</v>
      </c>
      <c r="C27" s="102" t="str">
        <f ca="1">IF(H27=1,J27,I27)</f>
        <v>填写</v>
      </c>
      <c r="D27" s="110" t="str">
        <f>IF(H27=1,"Click here to answer question 3 for Tungsten","")</f>
        <v/>
      </c>
      <c r="E27" s="84" t="s">
        <v>828</v>
      </c>
      <c r="F27" s="107">
        <f>IF(OR(B17="No",B22="No"),0,1)</f>
        <v>0</v>
      </c>
      <c r="G27" s="81">
        <f>IF(B27=0,1,0)</f>
        <v>1</v>
      </c>
      <c r="H27" s="82">
        <f>F27*G27</f>
        <v>0</v>
      </c>
      <c r="I27" s="179" t="str">
        <f ca="1">OFFSET(L!$C$1,MATCH("Checker"&amp;"Comp",L!$A:$A,0)-1,SL,,)</f>
        <v>填写</v>
      </c>
      <c r="J27" s="22" t="str">
        <f ca="1">OFFSET(L!$C$1,MATCH("Checker"&amp;ADDRESS(ROW(),COLUMN(),4),L!$A:$A,0)-1,SL,,)</f>
        <v>在“申报”选项卡 D41 单元格中，申报在此调查回答里申报的产品范围内所用钨的原产地是否为刚果民主共和国或毗邻国家或地区</v>
      </c>
    </row>
    <row r="28" spans="1:10" ht="39.6" customHeight="1">
      <c r="A28" s="102" t="str">
        <f ca="1">Declaration!B43</f>
        <v>4) 贵公司供应链中是否有冶炼厂从受冲突影响和高风险地区_x000D_
采购 3TG？ (*)</v>
      </c>
      <c r="B28" s="102"/>
      <c r="C28" s="102"/>
      <c r="D28" s="110"/>
      <c r="E28" s="84"/>
      <c r="F28" s="84"/>
      <c r="G28" s="84"/>
      <c r="H28" s="24"/>
      <c r="I28" s="179"/>
    </row>
    <row r="29" spans="1:10" ht="41.1" customHeight="1">
      <c r="A29" s="103" t="str">
        <f ca="1">Declaration!B44</f>
        <v>钽</v>
      </c>
      <c r="B29" s="102">
        <f>IF(AND($B$14="Yes",$B$19="Yes"),Declaration!D44,0)</f>
        <v>0</v>
      </c>
      <c r="C29" s="102" t="str">
        <f ca="1">IF(H29=1,J29,I29)</f>
        <v>填写</v>
      </c>
      <c r="D29" s="330" t="str">
        <f>IF(H29=1,"Click here to answer question 4 for Tantalum","")</f>
        <v/>
      </c>
      <c r="E29" s="84"/>
      <c r="F29" s="107">
        <f>F24</f>
        <v>0</v>
      </c>
      <c r="G29" s="81">
        <f t="shared" ref="G29" si="8">IF(B29=0,1,0)</f>
        <v>1</v>
      </c>
      <c r="H29" s="82">
        <f t="shared" ref="H29" si="9">F29*G29</f>
        <v>0</v>
      </c>
      <c r="I29" s="179" t="str">
        <f ca="1">OFFSET(L!$C$1,MATCH("Checker"&amp;"Comp",L!$A:$A,0)-1,SL,,)</f>
        <v>填写</v>
      </c>
      <c r="J29" s="22" t="str">
        <f ca="1">OFFSET(L!$C$1,MATCH("Checker"&amp;ADDRESS(ROW(),COLUMN(),4),L!$A:$A,0)-1,SL,,)</f>
        <v>在“申报”选项卡 D44 单元格中申报此调查回答中所申报产品范围内使用的钽的原产地是否为受冲突影响和高风险地区</v>
      </c>
    </row>
    <row r="30" spans="1:10" ht="41.1" customHeight="1">
      <c r="A30" s="103" t="str">
        <f ca="1">Declaration!B45</f>
        <v>锡(*)</v>
      </c>
      <c r="B30" s="102" t="str">
        <f>IF(AND($B$15="Yes",$B$20="Yes"),Declaration!D45,0)</f>
        <v>No</v>
      </c>
      <c r="C30" s="102" t="str">
        <f ca="1">IF(H30=1,J30,I30)</f>
        <v>填写</v>
      </c>
      <c r="D30" s="330" t="str">
        <f>IF(H30=1,"Click here to answer question 4 for Tin","")</f>
        <v/>
      </c>
      <c r="E30" s="84"/>
      <c r="F30" s="107">
        <f>F25</f>
        <v>1</v>
      </c>
      <c r="G30" s="81">
        <f>IF(B30=0,1,0)</f>
        <v>0</v>
      </c>
      <c r="H30" s="82">
        <f>F30*G30</f>
        <v>0</v>
      </c>
      <c r="I30" s="179" t="str">
        <f ca="1">OFFSET(L!$C$1,MATCH("Checker"&amp;"Comp",L!$A:$A,0)-1,SL,,)</f>
        <v>填写</v>
      </c>
      <c r="J30" s="22" t="str">
        <f ca="1">OFFSET(L!$C$1,MATCH("Checker"&amp;ADDRESS(ROW(),COLUMN(),4),L!$A:$A,0)-1,SL,,)</f>
        <v>在“申报”选项卡 D45 单元格中申报此调查回答中所申报产品范围内使用的锡的原产地是否为受冲突影响和高风险地区</v>
      </c>
    </row>
    <row r="31" spans="1:10" ht="41.1" customHeight="1">
      <c r="A31" s="103" t="str">
        <f ca="1">Declaration!B46</f>
        <v>金(*)</v>
      </c>
      <c r="B31" s="102" t="str">
        <f>IF(AND($B$16="Yes",$B$21="Yes"),Declaration!D46,0)</f>
        <v>No</v>
      </c>
      <c r="C31" s="102" t="str">
        <f ca="1">IF(H31=1,J31,I31)</f>
        <v>填写</v>
      </c>
      <c r="D31" s="330" t="str">
        <f>IF(H31=1,"Click here to answer question 4 for Gold","")</f>
        <v/>
      </c>
      <c r="E31" s="84"/>
      <c r="F31" s="107">
        <f>F26</f>
        <v>1</v>
      </c>
      <c r="G31" s="81">
        <f>IF(B31=0,1,0)</f>
        <v>0</v>
      </c>
      <c r="H31" s="82">
        <f>F31*G31</f>
        <v>0</v>
      </c>
      <c r="I31" s="179" t="str">
        <f ca="1">OFFSET(L!$C$1,MATCH("Checker"&amp;"Comp",L!$A:$A,0)-1,SL,,)</f>
        <v>填写</v>
      </c>
      <c r="J31" s="22" t="str">
        <f ca="1">OFFSET(L!$C$1,MATCH("Checker"&amp;ADDRESS(ROW(),COLUMN(),4),L!$A:$A,0)-1,SL,,)</f>
        <v>在“申报”选项卡 D46 单元格中申报此调查回答中所申报产品范围内使用的金的原产地是否为受冲突影响和高风险地区</v>
      </c>
    </row>
    <row r="32" spans="1:10" ht="41.1" customHeight="1">
      <c r="A32" s="103" t="str">
        <f ca="1">Declaration!B47</f>
        <v>钨</v>
      </c>
      <c r="B32" s="102">
        <f>IF(AND($B$17="Yes",$B$22="Yes"),Declaration!D47,0)</f>
        <v>0</v>
      </c>
      <c r="C32" s="102" t="str">
        <f ca="1">IF(H32=1,J32,I32)</f>
        <v>填写</v>
      </c>
      <c r="D32" s="330" t="str">
        <f>IF(H32=1,"Click here to answer question 4 for Tungsten","")</f>
        <v/>
      </c>
      <c r="E32" s="84"/>
      <c r="F32" s="107">
        <f>F27</f>
        <v>0</v>
      </c>
      <c r="G32" s="81">
        <f>IF(B32=0,1,0)</f>
        <v>1</v>
      </c>
      <c r="H32" s="82">
        <f>F32*G32</f>
        <v>0</v>
      </c>
      <c r="I32" s="179" t="str">
        <f ca="1">OFFSET(L!$C$1,MATCH("Checker"&amp;"Comp",L!$A:$A,0)-1,SL,,)</f>
        <v>填写</v>
      </c>
      <c r="J32" s="22" t="str">
        <f ca="1">OFFSET(L!$C$1,MATCH("Checker"&amp;ADDRESS(ROW(),COLUMN(),4),L!$A:$A,0)-1,SL,,)</f>
        <v>在“申报”选项卡 D47 单元格中申报此调查回答中所申报产品范围内使用的钨的原产地是否为受冲突影响和高风险地区</v>
      </c>
    </row>
    <row r="33" spans="1:10" ht="38.25">
      <c r="A33" s="102" t="str">
        <f ca="1">Declaration!B49</f>
        <v>5) 是否 100% 的 3TG（因产品功能或生产而必须使用）来自于回收料或报废料？ (*)</v>
      </c>
      <c r="B33" s="105"/>
      <c r="C33" s="105"/>
      <c r="D33" s="109"/>
      <c r="E33" s="84" t="s">
        <v>1330</v>
      </c>
      <c r="F33" s="106"/>
      <c r="G33" s="24"/>
      <c r="H33" s="24"/>
      <c r="J33" s="180"/>
    </row>
    <row r="34" spans="1:10" ht="39">
      <c r="A34" s="103" t="str">
        <f ca="1">Declaration!B50</f>
        <v>钽</v>
      </c>
      <c r="B34" s="102">
        <f>IF(AND($B$14="Yes",$B$19="Yes"),Declaration!D50,0)</f>
        <v>0</v>
      </c>
      <c r="C34" s="102" t="str">
        <f ca="1">IF(H34=1,J34,I34)</f>
        <v>填写</v>
      </c>
      <c r="D34" s="330" t="str">
        <f>IF(H34=1,"Click here to answer question 5 for Tantalum","")</f>
        <v/>
      </c>
      <c r="E34" s="84" t="s">
        <v>1330</v>
      </c>
      <c r="F34" s="107">
        <f>F24</f>
        <v>0</v>
      </c>
      <c r="G34" s="81">
        <f>IF(B34=0,1,0)</f>
        <v>1</v>
      </c>
      <c r="H34" s="82">
        <f>F34*G34</f>
        <v>0</v>
      </c>
      <c r="I34" s="179" t="str">
        <f ca="1">OFFSET(L!$C$1,MATCH("Checker"&amp;"Comp",L!$A:$A,0)-1,SL,,)</f>
        <v>填写</v>
      </c>
      <c r="J34" s="180" t="str">
        <f ca="1">OFFSET(L!$C$1,MATCH("Checker"&amp;ADDRESS(ROW(),COLUMN(),4),L!$A:$A,0)-1,SL,,)</f>
        <v>在“申报”选项卡 D44 单元格中，申报在此调查回答里申报的产品范围内所用钽是否完全来自回收料或报废料</v>
      </c>
    </row>
    <row r="35" spans="1:10" ht="39">
      <c r="A35" s="103" t="str">
        <f ca="1">Declaration!B51</f>
        <v>锡(*)</v>
      </c>
      <c r="B35" s="102" t="str">
        <f>IF(AND($B$15="Yes",$B$20="Yes"),Declaration!D51,0)</f>
        <v>No</v>
      </c>
      <c r="C35" s="102" t="str">
        <f ca="1">IF(H35=1,J35,I35)</f>
        <v>填写</v>
      </c>
      <c r="D35" s="330" t="str">
        <f>IF(H35=1,"Click here to answer question 5 for Tin","")</f>
        <v/>
      </c>
      <c r="E35" s="84" t="s">
        <v>1330</v>
      </c>
      <c r="F35" s="107">
        <f>F25</f>
        <v>1</v>
      </c>
      <c r="G35" s="81">
        <f>IF(B35=0,1,0)</f>
        <v>0</v>
      </c>
      <c r="H35" s="82">
        <f>F35*G35</f>
        <v>0</v>
      </c>
      <c r="I35" s="179" t="str">
        <f ca="1">OFFSET(L!$C$1,MATCH("Checker"&amp;"Comp",L!$A:$A,0)-1,SL,,)</f>
        <v>填写</v>
      </c>
      <c r="J35" s="180" t="str">
        <f ca="1">OFFSET(L!$C$1,MATCH("Checker"&amp;ADDRESS(ROW(),COLUMN(),4),L!$A:$A,0)-1,SL,,)</f>
        <v>在“申报”选项卡 D45 单元格中，申报在此调查回答里申报的产品范围内所用锡是否完全来自回收料或报废料</v>
      </c>
    </row>
    <row r="36" spans="1:10" ht="39">
      <c r="A36" s="103" t="str">
        <f ca="1">Declaration!B52</f>
        <v>金(*)</v>
      </c>
      <c r="B36" s="102" t="str">
        <f>IF(AND($B$16="Yes",$B$21="Yes"),Declaration!D52,0)</f>
        <v>No</v>
      </c>
      <c r="C36" s="102" t="str">
        <f ca="1">IF(H36=1,J36,I36)</f>
        <v>填写</v>
      </c>
      <c r="D36" s="330" t="str">
        <f>IF(H36=1,"Click here to answer question 5 for Gold","")</f>
        <v/>
      </c>
      <c r="E36" s="84" t="s">
        <v>1330</v>
      </c>
      <c r="F36" s="107">
        <f>F26</f>
        <v>1</v>
      </c>
      <c r="G36" s="81">
        <f>IF(B36=0,1,0)</f>
        <v>0</v>
      </c>
      <c r="H36" s="82">
        <f>F36*G36</f>
        <v>0</v>
      </c>
      <c r="I36" s="179" t="str">
        <f ca="1">OFFSET(L!$C$1,MATCH("Checker"&amp;"Comp",L!$A:$A,0)-1,SL,,)</f>
        <v>填写</v>
      </c>
      <c r="J36" s="180" t="str">
        <f ca="1">OFFSET(L!$C$1,MATCH("Checker"&amp;ADDRESS(ROW(),COLUMN(),4),L!$A:$A,0)-1,SL,,)</f>
        <v>在“申报”选项卡 D46 单元格中，申报在此调查回答里申报的产品范围内所用金是否完全来自回收料或报废料</v>
      </c>
    </row>
    <row r="37" spans="1:10" ht="39">
      <c r="A37" s="103" t="str">
        <f ca="1">Declaration!B53</f>
        <v>钨</v>
      </c>
      <c r="B37" s="102">
        <f>IF(AND($B$17="Yes",$B$22="Yes"),Declaration!D53,0)</f>
        <v>0</v>
      </c>
      <c r="C37" s="102" t="str">
        <f ca="1">IF(H37=1,J37,I37)</f>
        <v>填写</v>
      </c>
      <c r="D37" s="330" t="str">
        <f>IF(H37=1,"Click here to answer question 5 for Tungsten","")</f>
        <v/>
      </c>
      <c r="E37" s="84" t="s">
        <v>1330</v>
      </c>
      <c r="F37" s="107">
        <f>F27</f>
        <v>0</v>
      </c>
      <c r="G37" s="81">
        <f>IF(B37=0,1,0)</f>
        <v>1</v>
      </c>
      <c r="H37" s="82">
        <f>F37*G37</f>
        <v>0</v>
      </c>
      <c r="I37" s="179" t="str">
        <f ca="1">OFFSET(L!$C$1,MATCH("Checker"&amp;"Comp",L!$A:$A,0)-1,SL,,)</f>
        <v>填写</v>
      </c>
      <c r="J37" s="180" t="str">
        <f ca="1">OFFSET(L!$C$1,MATCH("Checker"&amp;ADDRESS(ROW(),COLUMN(),4),L!$A:$A,0)-1,SL,,)</f>
        <v>在“申报”选项卡 D46 单元格中，申报在此调查回答里申报的产品范围内所用钨是否完全来自回收料或报废料</v>
      </c>
    </row>
    <row r="38" spans="1:10" ht="38.25">
      <c r="A38" s="102" t="str">
        <f ca="1">Declaration!B55</f>
        <v>6) 已对贵公司供应链调查提供答复的相关供应商百分比是多少？ (*)</v>
      </c>
      <c r="B38" s="105"/>
      <c r="C38" s="105"/>
      <c r="D38" s="109"/>
      <c r="E38" s="84" t="s">
        <v>828</v>
      </c>
      <c r="F38" s="106"/>
      <c r="G38" s="24"/>
      <c r="H38" s="24"/>
    </row>
    <row r="39" spans="1:10" ht="26.25">
      <c r="A39" s="103" t="str">
        <f ca="1">Declaration!B56</f>
        <v>钽</v>
      </c>
      <c r="B39" s="299">
        <f>IF(AND($B$14="Yes",$B$19="Yes"),Declaration!D56,0)</f>
        <v>0</v>
      </c>
      <c r="C39" s="102" t="str">
        <f ca="1">IF(H39=1,J39,I39)</f>
        <v>填写</v>
      </c>
      <c r="D39" s="331" t="str">
        <f>IF(H39=1,"Click here to answer question 6 for Tantalum","")</f>
        <v/>
      </c>
      <c r="E39" s="84" t="s">
        <v>827</v>
      </c>
      <c r="F39" s="107">
        <f>F24</f>
        <v>0</v>
      </c>
      <c r="G39" s="81">
        <f>IF(B39=0,1,0)</f>
        <v>1</v>
      </c>
      <c r="H39" s="82">
        <f>F39*G39</f>
        <v>0</v>
      </c>
      <c r="I39" s="179" t="str">
        <f ca="1">OFFSET(L!$C$1,MATCH("Checker"&amp;"Comp",L!$A:$A,0)-1,SL,,)</f>
        <v>填写</v>
      </c>
      <c r="J39" s="22" t="str">
        <f ca="1">OFFSET(L!$C$1,MATCH("Checker"&amp;ADDRESS(ROW(),COLUMN(),4),L!$A:$A,0)-1,SL,,)</f>
        <v>在“申报”选项卡 D50 单元格中，提供供应商的冶炼厂信息填写百分比</v>
      </c>
    </row>
    <row r="40" spans="1:10" ht="26.25">
      <c r="A40" s="103" t="str">
        <f ca="1">Declaration!B57</f>
        <v>锡(*)</v>
      </c>
      <c r="B40" s="299">
        <f>IF(AND($B$15="Yes",$B$20="Yes"),Declaration!D57,0)</f>
        <v>1</v>
      </c>
      <c r="C40" s="102" t="str">
        <f ca="1">IF(H40=1,J40,I40)</f>
        <v>填写</v>
      </c>
      <c r="D40" s="331" t="str">
        <f>IF(H40=1,"Click here to answer question 6 for Tin","")</f>
        <v/>
      </c>
      <c r="E40" s="84" t="s">
        <v>827</v>
      </c>
      <c r="F40" s="107">
        <f>F25</f>
        <v>1</v>
      </c>
      <c r="G40" s="81">
        <f>IF(B40=0,1,0)</f>
        <v>0</v>
      </c>
      <c r="H40" s="82">
        <f>F40*G40</f>
        <v>0</v>
      </c>
      <c r="I40" s="179" t="str">
        <f ca="1">OFFSET(L!$C$1,MATCH("Checker"&amp;"Comp",L!$A:$A,0)-1,SL,,)</f>
        <v>填写</v>
      </c>
      <c r="J40" s="22" t="str">
        <f ca="1">OFFSET(L!$C$1,MATCH("Checker"&amp;ADDRESS(ROW(),COLUMN(),4),L!$A:$A,0)-1,SL,,)</f>
        <v>在“申报”选项卡 D51 单元格中，提供供应商的冶炼厂信息填写百分比</v>
      </c>
    </row>
    <row r="41" spans="1:10" ht="26.25">
      <c r="A41" s="103" t="str">
        <f ca="1">Declaration!B58</f>
        <v>金(*)</v>
      </c>
      <c r="B41" s="299">
        <f>IF(AND($B$16="Yes",$B$21="Yes"),Declaration!D58,0)</f>
        <v>1</v>
      </c>
      <c r="C41" s="102" t="str">
        <f ca="1">IF(H41=1,J41,I41)</f>
        <v>填写</v>
      </c>
      <c r="D41" s="331" t="str">
        <f>IF(H41=1,"Click here to answer question 6 for Gold","")</f>
        <v/>
      </c>
      <c r="E41" s="84" t="s">
        <v>827</v>
      </c>
      <c r="F41" s="107">
        <f>F26</f>
        <v>1</v>
      </c>
      <c r="G41" s="81">
        <f>IF(B41=0,1,0)</f>
        <v>0</v>
      </c>
      <c r="H41" s="82">
        <f>F41*G41</f>
        <v>0</v>
      </c>
      <c r="I41" s="179" t="str">
        <f ca="1">OFFSET(L!$C$1,MATCH("Checker"&amp;"Comp",L!$A:$A,0)-1,SL,,)</f>
        <v>填写</v>
      </c>
      <c r="J41" s="22" t="str">
        <f ca="1">OFFSET(L!$C$1,MATCH("Checker"&amp;ADDRESS(ROW(),COLUMN(),4),L!$A:$A,0)-1,SL,,)</f>
        <v>在“申报”选项卡 D52 单元格中，提供供应商的冶炼厂信息填写百分比</v>
      </c>
    </row>
    <row r="42" spans="1:10" ht="26.25">
      <c r="A42" s="103" t="str">
        <f ca="1">Declaration!B59</f>
        <v>钨</v>
      </c>
      <c r="B42" s="299">
        <f>IF(AND($B$17="Yes",$B$22="Yes"),Declaration!D59,0)</f>
        <v>0</v>
      </c>
      <c r="C42" s="102" t="str">
        <f ca="1">IF(H42=1,J42,I42)</f>
        <v>填写</v>
      </c>
      <c r="D42" s="331" t="str">
        <f>IF(H42=1,"Click here to answer question 6 for Tungsten","")</f>
        <v/>
      </c>
      <c r="E42" s="84" t="s">
        <v>827</v>
      </c>
      <c r="F42" s="107">
        <f>F27</f>
        <v>0</v>
      </c>
      <c r="G42" s="81">
        <f>IF(B42=0,1,0)</f>
        <v>1</v>
      </c>
      <c r="H42" s="82">
        <f>F42*G42</f>
        <v>0</v>
      </c>
      <c r="I42" s="179" t="str">
        <f ca="1">OFFSET(L!$C$1,MATCH("Checker"&amp;"Comp",L!$A:$A,0)-1,SL,,)</f>
        <v>填写</v>
      </c>
      <c r="J42" s="22" t="str">
        <f ca="1">OFFSET(L!$C$1,MATCH("Checker"&amp;ADDRESS(ROW(),COLUMN(),4),L!$A:$A,0)-1,SL,,)</f>
        <v>在“申报”选项卡 D53 单元格中，提供供应商的冶炼厂信息填写百分比</v>
      </c>
    </row>
    <row r="43" spans="1:10" ht="51">
      <c r="A43" s="102" t="str">
        <f ca="1">Declaration!B61</f>
        <v>7) 您是否识别出为贵公司供应链供应 3TG 的所有冶炼厂？ (*)</v>
      </c>
      <c r="B43" s="105"/>
      <c r="C43" s="105"/>
      <c r="D43" s="109"/>
      <c r="E43" s="84" t="s">
        <v>829</v>
      </c>
      <c r="F43" s="106"/>
      <c r="G43" s="24"/>
      <c r="H43" s="24"/>
    </row>
    <row r="44" spans="1:10" ht="51.75">
      <c r="A44" s="103" t="str">
        <f ca="1">Declaration!B62</f>
        <v>钽</v>
      </c>
      <c r="B44" s="102">
        <f>IF(AND($B$14="Yes",$B$19="Yes"),Declaration!D62,0)</f>
        <v>0</v>
      </c>
      <c r="C44" s="102" t="str">
        <f ca="1">IF(H44=1,J44,I44)</f>
        <v>填写</v>
      </c>
      <c r="D44" s="330" t="str">
        <f>IF(H44=1,"Click here to answer question 7 for Tantalum","")</f>
        <v/>
      </c>
      <c r="E44" s="84" t="s">
        <v>1326</v>
      </c>
      <c r="F44" s="107">
        <f>F24</f>
        <v>0</v>
      </c>
      <c r="G44" s="81">
        <f>IF(B44=0,1,0)</f>
        <v>1</v>
      </c>
      <c r="H44" s="82">
        <f>F44*G44</f>
        <v>0</v>
      </c>
      <c r="I44" s="179" t="str">
        <f ca="1">OFFSET(L!$C$1,MATCH("Checker"&amp;"Comp",L!$A:$A,0)-1,SL,,)</f>
        <v>填写</v>
      </c>
      <c r="J44" s="22" t="str">
        <f ca="1">OFFSET(L!$C$1,MATCH("Checker"&amp;ADDRESS(ROW(),COLUMN(),4),L!$A:$A,0)-1,SL,,)</f>
        <v>在“申报”选项卡 D56 单元格中，申报是否在此调查回答里的申报产品范围下方提供了所有冶炼厂名称</v>
      </c>
    </row>
    <row r="45" spans="1:10" ht="51.75">
      <c r="A45" s="103" t="str">
        <f ca="1">Declaration!B63</f>
        <v>锡(*)</v>
      </c>
      <c r="B45" s="102" t="str">
        <f>IF(AND($B$15="Yes",$B$20="Yes"),Declaration!D63,0)</f>
        <v>Yes</v>
      </c>
      <c r="C45" s="102" t="str">
        <f ca="1">IF(H45=1,J45,I45)</f>
        <v>填写</v>
      </c>
      <c r="D45" s="330" t="str">
        <f>IF(H45=1,"Click here to answer question 7 for Tin","")</f>
        <v/>
      </c>
      <c r="E45" s="84" t="s">
        <v>1326</v>
      </c>
      <c r="F45" s="107">
        <f>F25</f>
        <v>1</v>
      </c>
      <c r="G45" s="81">
        <f>IF(B45=0,1,0)</f>
        <v>0</v>
      </c>
      <c r="H45" s="82">
        <f>F45*G45</f>
        <v>0</v>
      </c>
      <c r="I45" s="179" t="str">
        <f ca="1">OFFSET(L!$C$1,MATCH("Checker"&amp;"Comp",L!$A:$A,0)-1,SL,,)</f>
        <v>填写</v>
      </c>
      <c r="J45" s="22" t="str">
        <f ca="1">OFFSET(L!$C$1,MATCH("Checker"&amp;ADDRESS(ROW(),COLUMN(),4),L!$A:$A,0)-1,SL,,)</f>
        <v>在“申报”选项卡 D57 单元格中，申报是否在此调查回答里的申报产品范围下方提供了所有冶炼厂名称</v>
      </c>
    </row>
    <row r="46" spans="1:10" ht="51.75">
      <c r="A46" s="103" t="str">
        <f ca="1">Declaration!B64</f>
        <v>金(*)</v>
      </c>
      <c r="B46" s="102" t="str">
        <f>IF(AND($B$16="Yes",$B$21="Yes"),Declaration!D64,0)</f>
        <v>Yes</v>
      </c>
      <c r="C46" s="102" t="str">
        <f ca="1">IF(H46=1,J46,I46)</f>
        <v>填写</v>
      </c>
      <c r="D46" s="330" t="str">
        <f>IF(H46=1,"Click here to answer question 7 for Gold","")</f>
        <v/>
      </c>
      <c r="E46" s="84" t="s">
        <v>1326</v>
      </c>
      <c r="F46" s="107">
        <f>F26</f>
        <v>1</v>
      </c>
      <c r="G46" s="81">
        <f>IF(B46=0,1,0)</f>
        <v>0</v>
      </c>
      <c r="H46" s="82">
        <f>F46*G46</f>
        <v>0</v>
      </c>
      <c r="I46" s="179" t="str">
        <f ca="1">OFFSET(L!$C$1,MATCH("Checker"&amp;"Comp",L!$A:$A,0)-1,SL,,)</f>
        <v>填写</v>
      </c>
      <c r="J46" s="22" t="str">
        <f ca="1">OFFSET(L!$C$1,MATCH("Checker"&amp;ADDRESS(ROW(),COLUMN(),4),L!$A:$A,0)-1,SL,,)</f>
        <v>在“申报”选项卡 D58 单元格中，申报是否在此调查回答里的申报产品范围下方提供了所有冶炼厂名称</v>
      </c>
    </row>
    <row r="47" spans="1:10" ht="51.75">
      <c r="A47" s="103" t="str">
        <f ca="1">Declaration!B65</f>
        <v>钨</v>
      </c>
      <c r="B47" s="102">
        <f>IF(AND($B$17="Yes",$B$22="Yes"),Declaration!D65,0)</f>
        <v>0</v>
      </c>
      <c r="C47" s="102" t="str">
        <f ca="1">IF(H47=1,J47,I47)</f>
        <v>填写</v>
      </c>
      <c r="D47" s="330" t="str">
        <f>IF(H47=1,"Click here to answer question 7 for Tungsten","")</f>
        <v/>
      </c>
      <c r="E47" s="84" t="s">
        <v>1326</v>
      </c>
      <c r="F47" s="107">
        <f>F27</f>
        <v>0</v>
      </c>
      <c r="G47" s="81">
        <f>IF(B47=0,1,0)</f>
        <v>1</v>
      </c>
      <c r="H47" s="82">
        <f>F47*G47</f>
        <v>0</v>
      </c>
      <c r="I47" s="179" t="str">
        <f ca="1">OFFSET(L!$C$1,MATCH("Checker"&amp;"Comp",L!$A:$A,0)-1,SL,,)</f>
        <v>填写</v>
      </c>
      <c r="J47" s="22" t="str">
        <f ca="1">OFFSET(L!$C$1,MATCH("Checker"&amp;ADDRESS(ROW(),COLUMN(),4),L!$A:$A,0)-1,SL,,)</f>
        <v>在“申报”选项卡 D59 单元格中，申报是否在此调查回答里的申报产品范围下方提供了所有冶炼厂名称</v>
      </c>
    </row>
    <row r="48" spans="1:10" ht="63.75">
      <c r="A48" s="102" t="str">
        <f ca="1">Declaration!B67</f>
        <v>8) 贵公司收到的所有适用冶炼厂信息是否已在此申报中报告？ (*)</v>
      </c>
      <c r="B48" s="105"/>
      <c r="C48" s="105"/>
      <c r="D48" s="109"/>
      <c r="E48" s="84" t="s">
        <v>830</v>
      </c>
      <c r="F48" s="106"/>
      <c r="G48" s="24"/>
      <c r="H48" s="24"/>
    </row>
    <row r="49" spans="1:10" ht="39">
      <c r="A49" s="103" t="str">
        <f ca="1">Declaration!B68</f>
        <v>钽</v>
      </c>
      <c r="B49" s="102">
        <f>IF(AND($B$14="Yes",$B$19="Yes"),Declaration!D68,0)</f>
        <v>0</v>
      </c>
      <c r="C49" s="102" t="str">
        <f ca="1">IF(H49=1,J49,I49)</f>
        <v>填写</v>
      </c>
      <c r="D49" s="331" t="str">
        <f>IF(H49=1,"Click here to answer question 8 for Tantalum","")</f>
        <v/>
      </c>
      <c r="E49" s="84" t="s">
        <v>828</v>
      </c>
      <c r="F49" s="107">
        <f>F24</f>
        <v>0</v>
      </c>
      <c r="G49" s="81">
        <f>IF(B49=0,1,0)</f>
        <v>1</v>
      </c>
      <c r="H49" s="82">
        <f>F49*G49</f>
        <v>0</v>
      </c>
      <c r="I49" s="179" t="str">
        <f ca="1">OFFSET(L!$C$1,MATCH("Checker"&amp;"Comp",L!$A:$A,0)-1,SL,,)</f>
        <v>填写</v>
      </c>
      <c r="J49" s="22" t="str">
        <f ca="1">OFFSET(L!$C$1,MATCH("Checker"&amp;ADDRESS(ROW(),COLUMN(),4),L!$A:$A,0)-1,SL,,)</f>
        <v>在“申报”选项卡 D62 单元格中，申报是否已提供所有适用钽冶炼厂信息</v>
      </c>
    </row>
    <row r="50" spans="1:10" ht="39">
      <c r="A50" s="103" t="str">
        <f ca="1">Declaration!B69</f>
        <v>锡(*)</v>
      </c>
      <c r="B50" s="102" t="str">
        <f>IF(AND($B$15="Yes",$B$20="Yes"),Declaration!D69,0)</f>
        <v>Yes</v>
      </c>
      <c r="C50" s="102" t="str">
        <f ca="1">IF(H50=1,J50,I50)</f>
        <v>填写</v>
      </c>
      <c r="D50" s="331" t="str">
        <f>IF(H50=1,"Click here to answer question 8 for Tin","")</f>
        <v/>
      </c>
      <c r="E50" s="84" t="s">
        <v>828</v>
      </c>
      <c r="F50" s="107">
        <f>F25</f>
        <v>1</v>
      </c>
      <c r="G50" s="81">
        <f>IF(B50=0,1,0)</f>
        <v>0</v>
      </c>
      <c r="H50" s="82">
        <f>F50*G50</f>
        <v>0</v>
      </c>
      <c r="I50" s="179" t="str">
        <f ca="1">OFFSET(L!$C$1,MATCH("Checker"&amp;"Comp",L!$A:$A,0)-1,SL,,)</f>
        <v>填写</v>
      </c>
      <c r="J50" s="22" t="str">
        <f ca="1">OFFSET(L!$C$1,MATCH("Checker"&amp;ADDRESS(ROW(),COLUMN(),4),L!$A:$A,0)-1,SL,,)</f>
        <v>在“申报”选项卡 D63 单元格中，申报是否已提供所有适用锡冶炼厂信息</v>
      </c>
    </row>
    <row r="51" spans="1:10" ht="39">
      <c r="A51" s="103" t="str">
        <f ca="1">Declaration!B70</f>
        <v>金(*)</v>
      </c>
      <c r="B51" s="102" t="str">
        <f>IF(AND($B$16="Yes",$B$21="Yes"),Declaration!D70,0)</f>
        <v>Yes</v>
      </c>
      <c r="C51" s="102" t="str">
        <f ca="1">IF(H51=1,J51,I51)</f>
        <v>填写</v>
      </c>
      <c r="D51" s="331" t="str">
        <f>IF(H51=1,"Click here to answer question 8 for Gold","")</f>
        <v/>
      </c>
      <c r="E51" s="84" t="s">
        <v>828</v>
      </c>
      <c r="F51" s="107">
        <f>F26</f>
        <v>1</v>
      </c>
      <c r="G51" s="81">
        <f>IF(B51=0,1,0)</f>
        <v>0</v>
      </c>
      <c r="H51" s="82">
        <f>F51*G51</f>
        <v>0</v>
      </c>
      <c r="I51" s="179" t="str">
        <f ca="1">OFFSET(L!$C$1,MATCH("Checker"&amp;"Comp",L!$A:$A,0)-1,SL,,)</f>
        <v>填写</v>
      </c>
      <c r="J51" s="22" t="str">
        <f ca="1">OFFSET(L!$C$1,MATCH("Checker"&amp;ADDRESS(ROW(),COLUMN(),4),L!$A:$A,0)-1,SL,,)</f>
        <v>在“申报”选项卡 D64 单元格中，申报是否已提供所有适用金冶炼厂信息</v>
      </c>
    </row>
    <row r="52" spans="1:10" ht="39">
      <c r="A52" s="103" t="str">
        <f ca="1">Declaration!B71</f>
        <v>钨</v>
      </c>
      <c r="B52" s="102">
        <f>IF(AND($B$17="Yes",$B$22="Yes"),Declaration!D71,0)</f>
        <v>0</v>
      </c>
      <c r="C52" s="102" t="str">
        <f ca="1">IF(H52=1,J52,I52)</f>
        <v>填写</v>
      </c>
      <c r="D52" s="331" t="str">
        <f>IF(H52=1,"Click here to answer question 8 for Tungsten","")</f>
        <v/>
      </c>
      <c r="E52" s="84" t="s">
        <v>828</v>
      </c>
      <c r="F52" s="107">
        <f>F27</f>
        <v>0</v>
      </c>
      <c r="G52" s="81">
        <f>IF(B52=0,1,0)</f>
        <v>1</v>
      </c>
      <c r="H52" s="82">
        <f>F52*G52</f>
        <v>0</v>
      </c>
      <c r="I52" s="179" t="str">
        <f ca="1">OFFSET(L!$C$1,MATCH("Checker"&amp;"Comp",L!$A:$A,0)-1,SL,,)</f>
        <v>填写</v>
      </c>
      <c r="J52" s="22" t="str">
        <f ca="1">OFFSET(L!$C$1,MATCH("Checker"&amp;ADDRESS(ROW(),COLUMN(),4),L!$A:$A,0)-1,SL,,)</f>
        <v>在“申报”选项卡 D65 单元格中，申报是否已提供所有适用钨冶炼厂信息</v>
      </c>
    </row>
    <row r="53" spans="1:10" ht="25.5">
      <c r="A53" s="102" t="str">
        <f ca="1">Declaration!B74</f>
        <v>问题</v>
      </c>
      <c r="B53" s="105"/>
      <c r="C53" s="105"/>
      <c r="D53" s="109"/>
      <c r="E53" s="84" t="s">
        <v>451</v>
      </c>
      <c r="F53" s="106"/>
      <c r="G53" s="106"/>
      <c r="H53" s="106"/>
    </row>
    <row r="54" spans="1:10" ht="39">
      <c r="A54" s="102" t="str">
        <f ca="1">Declaration!B75</f>
        <v>A. 贵公司是否已制定负责任矿产采购政策？ (*)</v>
      </c>
      <c r="B54" s="102" t="str">
        <f>Declaration!D75</f>
        <v>Yes</v>
      </c>
      <c r="C54" s="102" t="str">
        <f t="shared" ref="C54:C60" ca="1" si="10">IF(H54=1,J54,I54)</f>
        <v>填写</v>
      </c>
      <c r="D54" s="108" t="str">
        <f>IF(H54=1,"Click here to answer question (A)","")</f>
        <v/>
      </c>
      <c r="E54" s="84" t="s">
        <v>1330</v>
      </c>
      <c r="F54" s="107">
        <f>IF(SUM(F$24:F$27)=0,0,1)</f>
        <v>1</v>
      </c>
      <c r="G54" s="81">
        <f>IF(B54=0,1,0)</f>
        <v>0</v>
      </c>
      <c r="H54" s="82">
        <f t="shared" ref="H54:H60" si="11">F54*G54</f>
        <v>0</v>
      </c>
      <c r="I54" s="179" t="str">
        <f ca="1">OFFSET(L!$C$1,MATCH("Checker"&amp;"Comp",L!$A:$A,0)-1,SL,,)</f>
        <v>填写</v>
      </c>
      <c r="J54" s="22" t="str">
        <f ca="1">OFFSET(L!$C$1,MATCH("Checker"&amp;ADDRESS(ROW(),COLUMN(),4),L!$A:$A,0)-1,SL,,)</f>
        <v>在“申报”选项卡 D75 单元格中，回答贵公司是否制定了负责任矿物采购政策</v>
      </c>
    </row>
    <row r="55" spans="1:10" ht="54.75" customHeight="1">
      <c r="A55" s="102" t="str">
        <f ca="1">Declaration!B77</f>
        <v>B. 贵公司的负责任矿产采购政策是否公开发布于贵公司网页上？（备注 - 如果是，请在注释字段中注明 URL。） (*)</v>
      </c>
      <c r="B55" s="102" t="str">
        <f>Declaration!D77</f>
        <v>No</v>
      </c>
      <c r="C55" s="102" t="str">
        <f t="shared" ca="1" si="10"/>
        <v>填写</v>
      </c>
      <c r="D55" s="108" t="str">
        <f>IF(H55=1,"Click here to answer question (B)","")</f>
        <v/>
      </c>
      <c r="E55" s="84" t="s">
        <v>1330</v>
      </c>
      <c r="F55" s="107">
        <f t="shared" ref="F55" si="12">F$54</f>
        <v>1</v>
      </c>
      <c r="G55" s="81">
        <f>IF(B55=0,1,0)</f>
        <v>0</v>
      </c>
      <c r="H55" s="82">
        <f t="shared" si="11"/>
        <v>0</v>
      </c>
      <c r="I55" s="179" t="str">
        <f ca="1">OFFSET(L!$C$1,MATCH("Checker"&amp;"Comp",L!$A:$A,0)-1,SL,,)</f>
        <v>填写</v>
      </c>
      <c r="J55" s="22" t="str">
        <f ca="1">OFFSET(L!$C$1,MATCH("Checker"&amp;ADDRESS(ROW(),COLUMN(),4),L!$A:$A,0)-1,SL,,)</f>
        <v>在“申报”选项卡 D77 单元格中，回答贵公司是否在贵公司的网站上公开发布_x000D_
负责任矿产采购政策</v>
      </c>
    </row>
    <row r="56" spans="1:10" ht="38.450000000000003" customHeight="1">
      <c r="A56" s="102" t="s">
        <v>6</v>
      </c>
      <c r="B56" s="102">
        <f>Declaration!G77</f>
        <v>0</v>
      </c>
      <c r="C56" s="102" t="str">
        <f t="shared" ca="1" si="10"/>
        <v>填写</v>
      </c>
      <c r="D56" s="108" t="str">
        <f>IF(H56=1,"Click here to specify URL for question (B)","")</f>
        <v/>
      </c>
      <c r="E56" s="84"/>
      <c r="F56" s="107">
        <f>IF(AND(F55=1,B55="Yes"),1,0)</f>
        <v>0</v>
      </c>
      <c r="G56" s="81">
        <f>IF(LEN(B56)&gt;1,0,1)</f>
        <v>1</v>
      </c>
      <c r="H56" s="82">
        <f t="shared" si="11"/>
        <v>0</v>
      </c>
      <c r="I56" s="179" t="str">
        <f ca="1">OFFSET(L!$C$1,MATCH("Checker"&amp;"Comp",L!$A:$A,0)-1,SL,,)</f>
        <v>填写</v>
      </c>
      <c r="J56" s="170" t="str">
        <f ca="1">OFFSET(L!$C$1,MATCH("Checker"&amp;ADDRESS(ROW(),COLUMN(),4),L!$A:$A,0)-1,SL,,)</f>
        <v xml:space="preserve">如果问题 B 的答案为“是”，则请在“申报”工作表 G77 单元格中输入 URL。URL 的格式应为“www.companyname.com” </v>
      </c>
    </row>
    <row r="57" spans="1:10" ht="39">
      <c r="A57" s="102" t="str">
        <f ca="1">Declaration!B79</f>
        <v>C. 您是否要求您的直接供应商从其尽职调查实践已被被独立第三方审核机构验证过的冶炼厂采购 3TG？  (*)</v>
      </c>
      <c r="B57" s="102" t="str">
        <f>Declaration!D79</f>
        <v>Yes</v>
      </c>
      <c r="C57" s="102" t="str">
        <f t="shared" ca="1" si="10"/>
        <v>填写</v>
      </c>
      <c r="D57" s="108" t="str">
        <f>IF(H57=1,"Click here to answer question (C)","")</f>
        <v/>
      </c>
      <c r="E57" s="84" t="s">
        <v>1330</v>
      </c>
      <c r="F57" s="107">
        <f>F$54</f>
        <v>1</v>
      </c>
      <c r="G57" s="81">
        <f>IF(B57=0,1,0)</f>
        <v>0</v>
      </c>
      <c r="H57" s="82">
        <f t="shared" si="11"/>
        <v>0</v>
      </c>
      <c r="I57" s="179" t="str">
        <f ca="1">OFFSET(L!$C$1,MATCH("Checker"&amp;"Comp",L!$A:$A,0)-1,SL,,)</f>
        <v>填写</v>
      </c>
      <c r="J57" s="22" t="str">
        <f ca="1">OFFSET(L!$C$1,MATCH("Checker"&amp;ADDRESS(ROW(),COLUMN(),4),L!$A:$A,0)-1,SL,,)</f>
        <v>在“申报”选项卡 D79 单元格中，回答贵公司是否要求直接供应商开展采购的冶炼厂已经通过独立第三方审计计划（例如，负责任矿物审验流程）验证的尽职调查实践</v>
      </c>
    </row>
    <row r="58" spans="1:10" ht="39">
      <c r="A58" s="102" t="str">
        <f ca="1">Declaration!B81</f>
        <v>D. 贵公司是否已实施负责任矿产采购的尽职调查措施？ (*)</v>
      </c>
      <c r="B58" s="102" t="str">
        <f>Declaration!D81</f>
        <v>Yes</v>
      </c>
      <c r="C58" s="102" t="str">
        <f t="shared" ca="1" si="10"/>
        <v>填写</v>
      </c>
      <c r="D58" s="108" t="str">
        <f>IF(H58=1,"Click here to answer question (D)","")</f>
        <v/>
      </c>
      <c r="E58" s="84" t="s">
        <v>1330</v>
      </c>
      <c r="F58" s="107">
        <f>F$54</f>
        <v>1</v>
      </c>
      <c r="G58" s="81">
        <f>IF(B58=0,1,0)</f>
        <v>0</v>
      </c>
      <c r="H58" s="82">
        <f t="shared" si="11"/>
        <v>0</v>
      </c>
      <c r="I58" s="179" t="str">
        <f ca="1">OFFSET(L!$C$1,MATCH("Checker"&amp;"Comp",L!$A:$A,0)-1,SL,,)</f>
        <v>填写</v>
      </c>
      <c r="J58" s="22" t="str">
        <f ca="1">OFFSET(L!$C$1,MATCH("Checker"&amp;ADDRESS(ROW(),COLUMN(),4),L!$A:$A,0)-1,SL,,)</f>
        <v>在“申报”选项卡 D81 单元格中，回答贵公司是否已实施负责任采购尽职调查措施</v>
      </c>
    </row>
    <row r="59" spans="1:10" ht="39">
      <c r="A59" s="102" t="str">
        <f ca="1">Declaration!B83</f>
        <v>E. 贵公司是否开展了相关供应商的冲突矿产调查？ (*)</v>
      </c>
      <c r="B59" s="102" t="str">
        <f>Declaration!D83</f>
        <v>Yes, in conformance with IPC1755 (e.g., CMRT)</v>
      </c>
      <c r="C59" s="102" t="str">
        <f t="shared" ca="1" si="10"/>
        <v>填写</v>
      </c>
      <c r="D59" s="108" t="str">
        <f>IF(H59=1,"Click here to answer question (E)","")</f>
        <v/>
      </c>
      <c r="E59" s="84" t="s">
        <v>1330</v>
      </c>
      <c r="F59" s="107">
        <f>F$54</f>
        <v>1</v>
      </c>
      <c r="G59" s="81">
        <f>IF(B59=0,1,0)</f>
        <v>0</v>
      </c>
      <c r="H59" s="82">
        <f t="shared" si="11"/>
        <v>0</v>
      </c>
      <c r="I59" s="179" t="str">
        <f ca="1">OFFSET(L!$C$1,MATCH("Checker"&amp;"Comp",L!$A:$A,0)-1,SL,,)</f>
        <v>填写</v>
      </c>
      <c r="J59" s="22" t="str">
        <f ca="1">OFFSET(L!$C$1,MATCH("Checker"&amp;ADDRESS(ROW(),COLUMN(),4),L!$A:$A,0)-1,SL,,)</f>
        <v>在“申报”选项卡 D83 单元格中，回答贵公司是否要求供应商填写此“冲突矿产报告模板”</v>
      </c>
    </row>
    <row r="60" spans="1:10" ht="39">
      <c r="A60" s="102" t="str">
        <f ca="1">Declaration!B85</f>
        <v>F. 贵公司是否根据公司期望来审查供应商提交的尽职调查信息？ (*)</v>
      </c>
      <c r="B60" s="102" t="str">
        <f>Declaration!D85</f>
        <v>Yes</v>
      </c>
      <c r="C60" s="102" t="str">
        <f t="shared" ca="1" si="10"/>
        <v>填写</v>
      </c>
      <c r="D60" s="108" t="str">
        <f>IF(H60=1,"Click here to answer question (F)","")</f>
        <v/>
      </c>
      <c r="E60" s="84" t="s">
        <v>1330</v>
      </c>
      <c r="F60" s="107">
        <f>F$54</f>
        <v>1</v>
      </c>
      <c r="G60" s="81">
        <f>IF(B60=0,1,0)</f>
        <v>0</v>
      </c>
      <c r="H60" s="82">
        <f t="shared" si="11"/>
        <v>0</v>
      </c>
      <c r="I60" s="179" t="str">
        <f ca="1">OFFSET(L!$C$1,MATCH("Checker"&amp;"Comp",L!$A:$A,0)-1,SL,,)</f>
        <v>填写</v>
      </c>
      <c r="J60" s="22" t="str">
        <f ca="1">OFFSET(L!$C$1,MATCH("Checker"&amp;ADDRESS(ROW(),COLUMN(),4),L!$A:$A,0)-1,SL,,)</f>
        <v>在“申报”选项卡 D85 单元格中，回答贵公司是否根据贵公司的期望来验证供应商的回答</v>
      </c>
    </row>
    <row r="61" spans="1:10" ht="15" hidden="1">
      <c r="A61" s="102"/>
      <c r="B61" s="102"/>
      <c r="C61" s="102"/>
      <c r="D61" s="108"/>
      <c r="E61" s="84"/>
      <c r="F61" s="107"/>
      <c r="G61" s="81"/>
      <c r="H61" s="82"/>
      <c r="I61" s="179"/>
    </row>
    <row r="62" spans="1:10" ht="39">
      <c r="A62" s="102" t="str">
        <f ca="1">Declaration!B87</f>
        <v>G. 贵公司的验证程序是否包括纠正措施管理？ (*)</v>
      </c>
      <c r="B62" s="102" t="str">
        <f>Declaration!D87</f>
        <v>Yes</v>
      </c>
      <c r="C62" s="102" t="str">
        <f t="shared" ref="C62:C68" ca="1" si="13">IF(H62=1,J62,I62)</f>
        <v>填写</v>
      </c>
      <c r="D62" s="108" t="str">
        <f>IF(H62=1,"Click here to answer question (G)","")</f>
        <v/>
      </c>
      <c r="E62" s="84" t="s">
        <v>1330</v>
      </c>
      <c r="F62" s="107">
        <f>F$54</f>
        <v>1</v>
      </c>
      <c r="G62" s="81">
        <f>IF(B62=0,1,0)</f>
        <v>0</v>
      </c>
      <c r="H62" s="82">
        <f t="shared" ref="H62:H69" si="14">F62*G62</f>
        <v>0</v>
      </c>
      <c r="I62" s="179" t="str">
        <f ca="1">OFFSET(L!$C$1,MATCH("Checker"&amp;"Comp",L!$A:$A,0)-1,SL,,)</f>
        <v>填写</v>
      </c>
      <c r="J62" s="22" t="str">
        <f ca="1">OFFSET(L!$C$1,MATCH("Checker"&amp;ADDRESS(ROW(),COLUMN(),4),L!$A:$A,0)-1,SL,,)</f>
        <v>在“申报”选项卡 D87 单元格中，回答贵公司的验证流程是否包括纠正措施管理</v>
      </c>
    </row>
    <row r="63" spans="1:10" ht="39">
      <c r="A63" s="102" t="str">
        <f ca="1">Declaration!B89</f>
        <v>H. 贵公司是否需要提交年度冲突矿产披露？ (*)</v>
      </c>
      <c r="B63" s="102" t="str">
        <f>Declaration!D89</f>
        <v>No</v>
      </c>
      <c r="C63" s="102" t="str">
        <f t="shared" ca="1" si="13"/>
        <v>填写</v>
      </c>
      <c r="D63" s="108" t="str">
        <f>IF(H63=1,"Click here to answer question (H)","")</f>
        <v/>
      </c>
      <c r="E63" s="84" t="s">
        <v>1330</v>
      </c>
      <c r="F63" s="107">
        <f>F$54</f>
        <v>1</v>
      </c>
      <c r="G63" s="81">
        <f>IF(B63=0,1,0)</f>
        <v>0</v>
      </c>
      <c r="H63" s="82">
        <f t="shared" si="14"/>
        <v>0</v>
      </c>
      <c r="I63" s="179" t="str">
        <f ca="1">OFFSET(L!$C$1,MATCH("Checker"&amp;"Comp",L!$A:$A,0)-1,SL,,)</f>
        <v>填写</v>
      </c>
      <c r="J63" s="22" t="str">
        <f ca="1">OFFSET(L!$C$1,MATCH("Checker"&amp;ADDRESS(ROW(),COLUMN(),4),L!$A:$A,0)-1,SL,,)</f>
        <v>在“申报”选项卡 D89
单元格中，回答贵公司是否需要遵守 SEC 披露要求、欧盟条例
或者两者均需遵守</v>
      </c>
    </row>
    <row r="64" spans="1:10" ht="39">
      <c r="A64" s="102" t="s">
        <v>1323</v>
      </c>
      <c r="B64" s="102" t="str">
        <f>IF(G64=1,"No products or item numbers listed","One or more product / item numbers have been provided")</f>
        <v>No products or item numbers listed</v>
      </c>
      <c r="C64" s="102" t="str">
        <f t="shared" ca="1" si="13"/>
        <v>填写</v>
      </c>
      <c r="D64" s="108" t="str">
        <f>IF(H64=1,"Click here to enter detail on Product List tab","")</f>
        <v/>
      </c>
      <c r="E64" s="84" t="s">
        <v>1330</v>
      </c>
      <c r="F64" s="107">
        <f>IF(B5=Declaration!Q9,1,0)</f>
        <v>0</v>
      </c>
      <c r="G64" s="81">
        <f>IF('Product List'!B6="",1,0)</f>
        <v>1</v>
      </c>
      <c r="H64" s="82">
        <f t="shared" si="14"/>
        <v>0</v>
      </c>
      <c r="I64" s="179" t="str">
        <f ca="1">OFFSET(L!$C$1,MATCH("Checker"&amp;"Comp",L!$A:$A,0)-1,SL,,)</f>
        <v>填写</v>
      </c>
      <c r="J64" s="22" t="str">
        <f ca="1">OFFSET(L!$C$1,MATCH("Checker"&amp;ADDRESS(ROW(),COLUMN(),4),L!$A:$A,0)-1,SL,,)</f>
        <v>如果合适，提供此申报所适用的一个或多个产品或项目编号。从“申报”选项卡 6H1 单元格中，选择超链接进入“产品列表”选项卡</v>
      </c>
    </row>
    <row r="65" spans="1:12" ht="39">
      <c r="A65" s="102" t="s">
        <v>14428</v>
      </c>
      <c r="B65" s="102"/>
      <c r="C65" s="102" t="str">
        <f t="shared" ca="1" si="13"/>
        <v>填写</v>
      </c>
      <c r="D65" s="108" t="str">
        <f ca="1">IF(H65=0,"","Click here to provide smelter information")</f>
        <v/>
      </c>
      <c r="E65" s="84" t="s">
        <v>1330</v>
      </c>
      <c r="F65" s="107">
        <f>F24</f>
        <v>0</v>
      </c>
      <c r="G65" s="81">
        <f ca="1">IF(AND(COUNTIF(SmelterIdetifiedForMetal,"Tantalum")&gt;0,COUNTIF('Smelter List'!AB$5:AB$2504,"Tantalum?*")&gt;0),0,1)</f>
        <v>1</v>
      </c>
      <c r="H65" s="82">
        <f t="shared" ca="1" si="14"/>
        <v>0</v>
      </c>
      <c r="I65" s="179" t="str">
        <f ca="1">OFFSET(L!$C$1,MATCH("Checker"&amp;"Comp",L!$A:$A,0)-1,SL,,)</f>
        <v>填写</v>
      </c>
      <c r="J65" s="22" t="str">
        <f ca="1">OFFSET(L!$C$1,MATCH("Checker"&amp;ADDRESS(ROW(),COLUMN(),4),L!$A:$A,0)-1,SL,,)</f>
        <v>在“冶炼厂目录”选项卡中，提供向供应链提供材料的钽冶炼厂列表</v>
      </c>
      <c r="K65" s="186">
        <f>IF(H14+H19&gt;0,1,0)</f>
        <v>0</v>
      </c>
      <c r="L65" s="22" t="e">
        <f ca="1">OFFSET(L!$C$1,MATCH("Checker"&amp;ADDRESS(ROW(),COLUMN(),4),L!$A:$A,0)-1,SL,,)</f>
        <v>#N/A</v>
      </c>
    </row>
    <row r="66" spans="1:12" ht="39">
      <c r="A66" s="102" t="s">
        <v>1899</v>
      </c>
      <c r="B66" s="102"/>
      <c r="C66" s="102" t="str">
        <f t="shared" ca="1" si="13"/>
        <v>填写</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填写</v>
      </c>
      <c r="J66" s="22" t="str">
        <f ca="1">OFFSET(L!$C$1,MATCH("Checker"&amp;ADDRESS(ROW(),COLUMN(),4),L!$A:$A,0)-1,SL,,)</f>
        <v>在“冶炼厂目录”选项卡中，提供向供应链提供材料的锡冶炼厂列表</v>
      </c>
      <c r="K66" s="186">
        <f>IF(H15+H20&gt;0,1,0)</f>
        <v>0</v>
      </c>
      <c r="L66" s="22" t="e">
        <f ca="1">OFFSET(L!$C$1,MATCH("Checker"&amp;ADDRESS(ROW(),COLUMN(),4),L!$A:$A,0)-1,SL,,)</f>
        <v>#N/A</v>
      </c>
    </row>
    <row r="67" spans="1:12" ht="39">
      <c r="A67" s="102" t="s">
        <v>1900</v>
      </c>
      <c r="B67" s="102"/>
      <c r="C67" s="102" t="str">
        <f t="shared" ca="1" si="13"/>
        <v>填写</v>
      </c>
      <c r="D67" s="108" t="str">
        <f ca="1">IF(H67=0,"","Click here to provide smelter information")</f>
        <v/>
      </c>
      <c r="E67" s="84" t="s">
        <v>828</v>
      </c>
      <c r="F67" s="107">
        <f>F26</f>
        <v>1</v>
      </c>
      <c r="G67" s="81">
        <f ca="1">IF(AND(COUNTIF(SmelterIdetifiedForMetal,"Gold")&gt;0,COUNTIF('Smelter List'!AB$5:AB$2504,"Gold?*")&gt;0),0,1)</f>
        <v>0</v>
      </c>
      <c r="H67" s="82">
        <f t="shared" ca="1" si="14"/>
        <v>0</v>
      </c>
      <c r="I67" s="179" t="str">
        <f ca="1">OFFSET(L!$C$1,MATCH("Checker"&amp;"Comp",L!$A:$A,0)-1,SL,,)</f>
        <v>填写</v>
      </c>
      <c r="J67" s="22" t="str">
        <f ca="1">OFFSET(L!$C$1,MATCH("Checker"&amp;ADDRESS(ROW(),COLUMN(),4),L!$A:$A,0)-1,SL,,)</f>
        <v>在“冶炼厂目录”选项卡中，提供向供应链提供材料的金冶炼厂列表</v>
      </c>
      <c r="K67" s="186">
        <f>IF(H16+H21&gt;0,1,0)</f>
        <v>0</v>
      </c>
      <c r="L67" s="22" t="e">
        <f ca="1">OFFSET(L!$C$1,MATCH("Checker"&amp;ADDRESS(ROW(),COLUMN(),4),L!$A:$A,0)-1,SL,,)</f>
        <v>#N/A</v>
      </c>
    </row>
    <row r="68" spans="1:12" ht="39">
      <c r="A68" s="102" t="s">
        <v>1901</v>
      </c>
      <c r="B68" s="102"/>
      <c r="C68" s="102" t="str">
        <f t="shared" ca="1" si="13"/>
        <v>填写</v>
      </c>
      <c r="D68" s="108" t="str">
        <f ca="1">IF(H68=0,"","Click here to provide smelter information")</f>
        <v/>
      </c>
      <c r="E68" s="84" t="s">
        <v>828</v>
      </c>
      <c r="F68" s="107">
        <f>F27</f>
        <v>0</v>
      </c>
      <c r="G68" s="81">
        <f ca="1">IF(AND(COUNTIF(SmelterIdetifiedForMetal,"Tungsten")&gt;0,COUNTIF('Smelter List'!AB$5:AB$2504,"Tungsten?*")&gt;0),0,1)</f>
        <v>1</v>
      </c>
      <c r="H68" s="82">
        <f t="shared" ca="1" si="14"/>
        <v>0</v>
      </c>
      <c r="I68" s="179" t="str">
        <f ca="1">OFFSET(L!$C$1,MATCH("Checker"&amp;"Comp",L!$A:$A,0)-1,SL,,)</f>
        <v>填写</v>
      </c>
      <c r="J68" s="22" t="str">
        <f ca="1">OFFSET(L!$C$1,MATCH("Checker"&amp;ADDRESS(ROW(),COLUMN(),4),L!$A:$A,0)-1,SL,,)</f>
        <v>在“冶炼厂目录”选项卡中，提供向供应链提供材料的钨冶炼厂列表</v>
      </c>
      <c r="K68" s="186">
        <f>IF(H17+H22&gt;0,1,0)</f>
        <v>0</v>
      </c>
      <c r="L68" s="22" t="e">
        <f ca="1">OFFSET(L!$C$1,MATCH("Checker"&amp;ADDRESS(ROW(),COLUMN(),4),L!$A:$A,0)-1,SL,,)</f>
        <v>#N/A</v>
      </c>
    </row>
    <row r="69" spans="1:12" ht="25.5">
      <c r="A69" s="195" t="s">
        <v>2482</v>
      </c>
      <c r="B69" s="102"/>
      <c r="C69" s="195"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填写</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7" type="noConversion"/>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B99"/>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71" t="str">
        <f ca="1">OFFSET(L!$C$1,MATCH("Product List"&amp;ADDRESS(ROW(),COLUMN(),4),L!$A:$A,0)-1,SL,,)</f>
        <v xml:space="preserve">如果“申报”工作表上选择的报告层面为“产品（或产品列表）”，才需要填写此项。 </v>
      </c>
      <c r="B1" s="472"/>
      <c r="C1" s="472"/>
      <c r="D1" s="472"/>
      <c r="E1" s="145"/>
    </row>
    <row r="2" spans="1:6">
      <c r="A2" s="29"/>
      <c r="B2" s="147"/>
      <c r="C2" s="147"/>
      <c r="D2"/>
      <c r="E2" s="30"/>
    </row>
    <row r="3" spans="1:6">
      <c r="A3" s="29"/>
      <c r="B3" s="147"/>
      <c r="C3" s="147"/>
      <c r="D3" s="147"/>
      <c r="E3" s="30"/>
    </row>
    <row r="4" spans="1:6" ht="15.75" customHeight="1">
      <c r="A4" s="29"/>
      <c r="B4" s="470" t="s">
        <v>921</v>
      </c>
      <c r="C4" s="470"/>
      <c r="D4" s="470"/>
      <c r="E4" s="30"/>
    </row>
    <row r="5" spans="1:6" ht="15.75">
      <c r="A5" s="160"/>
      <c r="B5" s="162" t="str">
        <f ca="1">OFFSET(L!$C$1,MATCH("Product List"&amp;ADDRESS(ROW(),COLUMN(),4),L!$A:$A,0)-1,SL,,)</f>
        <v>制造商的产品序号 (*)</v>
      </c>
      <c r="C5" s="162" t="str">
        <f ca="1">OFFSET(L!$C$1,MATCH("Product List"&amp;ADDRESS(ROW(),COLUMN(),4),L!$A:$A,0)-1,SL,,)</f>
        <v>制造商的产品名称</v>
      </c>
      <c r="D5" s="85">
        <f ca="1">OFFSET(L!$C$1,MATCH("Product List"&amp;ADDRESS(ROW(),COLUMN(),4),L!$A:$A,0)-1,SL,,)</f>
        <v>0</v>
      </c>
      <c r="E5" s="30"/>
    </row>
    <row r="6" spans="1:6" s="33" customFormat="1" ht="15.75">
      <c r="A6" s="157"/>
      <c r="B6" s="348"/>
      <c r="C6" s="111"/>
      <c r="D6" s="111"/>
      <c r="E6" s="32"/>
      <c r="F6"/>
    </row>
    <row r="7" spans="1:6" s="33" customFormat="1" ht="15.75">
      <c r="A7" s="158"/>
      <c r="B7" s="348"/>
      <c r="C7" s="111"/>
      <c r="D7" s="111"/>
      <c r="E7" s="32"/>
      <c r="F7"/>
    </row>
    <row r="8" spans="1:6" s="33" customFormat="1" ht="15.75">
      <c r="A8" s="158"/>
      <c r="B8" s="348"/>
      <c r="C8" s="111"/>
      <c r="D8" s="111"/>
      <c r="E8" s="32"/>
      <c r="F8"/>
    </row>
    <row r="9" spans="1:6" s="33" customFormat="1" ht="15.75">
      <c r="A9" s="158"/>
      <c r="B9" s="348"/>
      <c r="C9" s="111"/>
      <c r="D9" s="111"/>
      <c r="E9" s="32"/>
      <c r="F9"/>
    </row>
    <row r="10" spans="1:6" s="33" customFormat="1" ht="15.75">
      <c r="A10" s="158"/>
      <c r="B10" s="348"/>
      <c r="C10" s="111"/>
      <c r="D10" s="111"/>
      <c r="E10" s="32"/>
      <c r="F10"/>
    </row>
    <row r="11" spans="1:6" s="33" customFormat="1" ht="15.75">
      <c r="A11" s="158"/>
      <c r="B11" s="348"/>
      <c r="C11" s="111"/>
      <c r="D11" s="111"/>
      <c r="E11" s="32"/>
      <c r="F11"/>
    </row>
    <row r="12" spans="1:6" s="33" customFormat="1" ht="15.75">
      <c r="A12" s="158"/>
      <c r="B12" s="348"/>
      <c r="C12" s="111"/>
      <c r="D12" s="111"/>
      <c r="E12" s="32"/>
      <c r="F12"/>
    </row>
    <row r="13" spans="1:6" s="33" customFormat="1" ht="15.75">
      <c r="A13" s="158"/>
      <c r="B13" s="348"/>
      <c r="C13" s="111"/>
      <c r="D13" s="111"/>
      <c r="E13" s="32"/>
      <c r="F13"/>
    </row>
    <row r="14" spans="1:6" s="33" customFormat="1" ht="15.75">
      <c r="A14" s="158"/>
      <c r="B14" s="348"/>
      <c r="C14" s="111"/>
      <c r="D14" s="111"/>
      <c r="E14" s="32"/>
      <c r="F14"/>
    </row>
    <row r="15" spans="1:6" s="33" customFormat="1" ht="15.75">
      <c r="A15" s="158"/>
      <c r="B15" s="348"/>
      <c r="C15" s="111"/>
      <c r="D15" s="111"/>
      <c r="E15" s="32"/>
      <c r="F15"/>
    </row>
    <row r="16" spans="1:6" s="33" customFormat="1" ht="15.75">
      <c r="A16" s="158"/>
      <c r="B16" s="348"/>
      <c r="C16" s="111"/>
      <c r="D16" s="111"/>
      <c r="E16" s="32"/>
      <c r="F16"/>
    </row>
    <row r="17" spans="1:6" s="33" customFormat="1" ht="15.75">
      <c r="A17" s="158"/>
      <c r="B17" s="348"/>
      <c r="C17" s="111"/>
      <c r="D17" s="111"/>
      <c r="E17" s="32"/>
      <c r="F17"/>
    </row>
    <row r="18" spans="1:6" s="33" customFormat="1" ht="15.75">
      <c r="A18" s="158"/>
      <c r="B18" s="348"/>
      <c r="C18" s="111"/>
      <c r="D18" s="111"/>
      <c r="E18" s="32"/>
      <c r="F18"/>
    </row>
    <row r="19" spans="1:6" s="33" customFormat="1" ht="15.75">
      <c r="A19" s="158"/>
      <c r="B19" s="348"/>
      <c r="C19" s="111"/>
      <c r="D19" s="111"/>
      <c r="E19" s="32"/>
      <c r="F19"/>
    </row>
    <row r="20" spans="1:6" s="33" customFormat="1" ht="15.75">
      <c r="A20" s="158"/>
      <c r="B20" s="348"/>
      <c r="C20" s="111"/>
      <c r="D20" s="111"/>
      <c r="E20" s="32"/>
      <c r="F20"/>
    </row>
    <row r="21" spans="1:6" s="33" customFormat="1" ht="15.75">
      <c r="A21" s="158"/>
      <c r="B21" s="348"/>
      <c r="C21" s="111"/>
      <c r="D21" s="111"/>
      <c r="E21" s="32"/>
      <c r="F21"/>
    </row>
    <row r="22" spans="1:6" s="33" customFormat="1" ht="15.75">
      <c r="A22" s="158"/>
      <c r="B22" s="348"/>
      <c r="C22" s="111"/>
      <c r="D22" s="111"/>
      <c r="E22" s="32"/>
      <c r="F22"/>
    </row>
    <row r="23" spans="1:6" s="33" customFormat="1" ht="15.75">
      <c r="A23" s="158"/>
      <c r="B23" s="348"/>
      <c r="C23" s="111"/>
      <c r="D23" s="111"/>
      <c r="E23" s="32"/>
      <c r="F23"/>
    </row>
    <row r="24" spans="1:6" s="33" customFormat="1" ht="15.75">
      <c r="A24" s="158"/>
      <c r="B24" s="348"/>
      <c r="C24" s="111"/>
      <c r="D24" s="111"/>
      <c r="E24" s="32"/>
      <c r="F24"/>
    </row>
    <row r="25" spans="1:6" s="33" customFormat="1" ht="15.75">
      <c r="A25" s="158"/>
      <c r="B25" s="348"/>
      <c r="C25" s="111"/>
      <c r="D25" s="111"/>
      <c r="E25" s="32"/>
      <c r="F25"/>
    </row>
    <row r="26" spans="1:6" s="33" customFormat="1" ht="15.75">
      <c r="A26" s="158"/>
      <c r="B26" s="348"/>
      <c r="C26" s="111"/>
      <c r="D26" s="111"/>
      <c r="E26" s="32"/>
      <c r="F26"/>
    </row>
    <row r="27" spans="1:6" s="33" customFormat="1" ht="15.75">
      <c r="A27" s="158"/>
      <c r="B27" s="348"/>
      <c r="C27" s="111"/>
      <c r="D27" s="111"/>
      <c r="E27" s="32"/>
      <c r="F27"/>
    </row>
    <row r="28" spans="1:6" s="33" customFormat="1" ht="15.75">
      <c r="A28" s="158"/>
      <c r="B28" s="348"/>
      <c r="C28" s="111"/>
      <c r="D28" s="111"/>
      <c r="E28" s="32"/>
      <c r="F28"/>
    </row>
    <row r="29" spans="1:6" s="33" customFormat="1" ht="15.75">
      <c r="A29" s="158"/>
      <c r="B29" s="348"/>
      <c r="C29" s="111"/>
      <c r="D29" s="111"/>
      <c r="E29" s="32"/>
      <c r="F29"/>
    </row>
    <row r="30" spans="1:6" s="33" customFormat="1" ht="15.75">
      <c r="A30" s="158"/>
      <c r="B30" s="348"/>
      <c r="C30" s="111"/>
      <c r="D30" s="111"/>
      <c r="E30" s="32"/>
      <c r="F30"/>
    </row>
    <row r="31" spans="1:6" s="33" customFormat="1" ht="15.75">
      <c r="A31" s="158"/>
      <c r="B31" s="348"/>
      <c r="C31" s="111"/>
      <c r="D31" s="111"/>
      <c r="E31" s="32"/>
      <c r="F31"/>
    </row>
    <row r="32" spans="1:6" s="33" customFormat="1" ht="15.75">
      <c r="A32" s="158"/>
      <c r="B32" s="348"/>
      <c r="C32" s="111"/>
      <c r="D32" s="111"/>
      <c r="E32" s="32"/>
      <c r="F32"/>
    </row>
    <row r="33" spans="1:6" s="33" customFormat="1" ht="15.75">
      <c r="A33" s="158"/>
      <c r="B33" s="348"/>
      <c r="C33" s="111"/>
      <c r="D33" s="111"/>
      <c r="E33" s="32"/>
      <c r="F33"/>
    </row>
    <row r="34" spans="1:6" s="33" customFormat="1" ht="15.75">
      <c r="A34" s="158"/>
      <c r="B34" s="348"/>
      <c r="C34" s="111"/>
      <c r="D34" s="111"/>
      <c r="E34" s="32"/>
      <c r="F34"/>
    </row>
    <row r="35" spans="1:6" s="33" customFormat="1" ht="15.75">
      <c r="A35" s="158"/>
      <c r="B35" s="348"/>
      <c r="C35" s="111"/>
      <c r="D35" s="111"/>
      <c r="E35" s="32"/>
      <c r="F35"/>
    </row>
    <row r="36" spans="1:6" s="33" customFormat="1" ht="15.75">
      <c r="A36" s="158"/>
      <c r="B36" s="348"/>
      <c r="C36" s="111"/>
      <c r="D36" s="111"/>
      <c r="E36" s="32"/>
      <c r="F36"/>
    </row>
    <row r="37" spans="1:6" s="33" customFormat="1" ht="15.75">
      <c r="A37" s="158"/>
      <c r="B37" s="348"/>
      <c r="C37" s="111"/>
      <c r="D37" s="111"/>
      <c r="E37" s="32"/>
      <c r="F37"/>
    </row>
    <row r="38" spans="1:6" s="33" customFormat="1" ht="15.75">
      <c r="A38" s="158"/>
      <c r="B38" s="348"/>
      <c r="C38" s="111"/>
      <c r="D38" s="111"/>
      <c r="E38" s="32"/>
      <c r="F38"/>
    </row>
    <row r="39" spans="1:6" s="33" customFormat="1" ht="15.75">
      <c r="A39" s="158"/>
      <c r="B39" s="348"/>
      <c r="C39" s="111"/>
      <c r="D39" s="111"/>
      <c r="E39" s="32"/>
      <c r="F39"/>
    </row>
    <row r="40" spans="1:6" s="33" customFormat="1" ht="15.75">
      <c r="A40" s="158"/>
      <c r="B40" s="348"/>
      <c r="C40" s="111"/>
      <c r="D40" s="111"/>
      <c r="E40" s="32"/>
      <c r="F40"/>
    </row>
    <row r="41" spans="1:6" s="33" customFormat="1" ht="15.75">
      <c r="A41" s="158"/>
      <c r="B41" s="348"/>
      <c r="C41" s="111"/>
      <c r="D41" s="111"/>
      <c r="E41" s="32"/>
      <c r="F41"/>
    </row>
    <row r="42" spans="1:6" s="33" customFormat="1" ht="15.75">
      <c r="A42" s="158"/>
      <c r="B42" s="348"/>
      <c r="C42" s="111"/>
      <c r="D42" s="111"/>
      <c r="E42" s="32"/>
      <c r="F42"/>
    </row>
    <row r="43" spans="1:6" s="33" customFormat="1" ht="15.75">
      <c r="A43" s="158"/>
      <c r="B43" s="348"/>
      <c r="C43" s="111"/>
      <c r="D43" s="111"/>
      <c r="E43" s="32"/>
      <c r="F43"/>
    </row>
    <row r="44" spans="1:6" s="33" customFormat="1" ht="15.75">
      <c r="A44" s="158"/>
      <c r="B44" s="348"/>
      <c r="C44" s="111"/>
      <c r="D44" s="111"/>
      <c r="E44" s="32"/>
      <c r="F44"/>
    </row>
    <row r="45" spans="1:6" s="33" customFormat="1" ht="15.75">
      <c r="A45" s="158"/>
      <c r="B45" s="348"/>
      <c r="C45" s="111"/>
      <c r="D45" s="111"/>
      <c r="E45" s="32"/>
      <c r="F45"/>
    </row>
    <row r="46" spans="1:6" s="33" customFormat="1" ht="15.75">
      <c r="A46" s="158"/>
      <c r="B46" s="348"/>
      <c r="C46" s="111"/>
      <c r="D46" s="111"/>
      <c r="E46" s="32"/>
      <c r="F46"/>
    </row>
    <row r="47" spans="1:6" s="33" customFormat="1" ht="15.75">
      <c r="A47" s="158"/>
      <c r="B47" s="348"/>
      <c r="C47" s="111"/>
      <c r="D47" s="111"/>
      <c r="E47" s="32"/>
      <c r="F47"/>
    </row>
    <row r="48" spans="1:6" s="33" customFormat="1" ht="15.75">
      <c r="A48" s="158"/>
      <c r="B48" s="348"/>
      <c r="C48" s="111"/>
      <c r="D48" s="111"/>
      <c r="E48" s="32"/>
      <c r="F48"/>
    </row>
    <row r="49" spans="1:6" s="33" customFormat="1" ht="15.75">
      <c r="A49" s="158"/>
      <c r="B49" s="348"/>
      <c r="C49" s="111"/>
      <c r="D49" s="111"/>
      <c r="E49" s="32"/>
      <c r="F49"/>
    </row>
    <row r="50" spans="1:6" s="33" customFormat="1" ht="15.75">
      <c r="A50" s="158"/>
      <c r="B50" s="348"/>
      <c r="C50" s="111"/>
      <c r="D50" s="111"/>
      <c r="E50" s="32"/>
      <c r="F50"/>
    </row>
    <row r="51" spans="1:6" s="33" customFormat="1" ht="15.75">
      <c r="A51" s="158"/>
      <c r="B51" s="348"/>
      <c r="C51" s="111"/>
      <c r="D51" s="111"/>
      <c r="E51" s="32"/>
      <c r="F51"/>
    </row>
    <row r="52" spans="1:6" s="33" customFormat="1" ht="15.75">
      <c r="A52" s="158"/>
      <c r="B52" s="348"/>
      <c r="C52" s="111"/>
      <c r="D52" s="111"/>
      <c r="E52" s="32"/>
      <c r="F52"/>
    </row>
    <row r="53" spans="1:6" s="33" customFormat="1" ht="15.75">
      <c r="A53" s="158"/>
      <c r="B53" s="348"/>
      <c r="C53" s="111"/>
      <c r="D53" s="111"/>
      <c r="E53" s="32"/>
      <c r="F53"/>
    </row>
    <row r="54" spans="1:6" s="33" customFormat="1" ht="15.75">
      <c r="A54" s="158"/>
      <c r="B54" s="348"/>
      <c r="C54" s="111"/>
      <c r="D54" s="111"/>
      <c r="E54" s="32"/>
      <c r="F54"/>
    </row>
    <row r="55" spans="1:6" s="33" customFormat="1" ht="15.75">
      <c r="A55" s="158"/>
      <c r="B55" s="348"/>
      <c r="C55" s="111"/>
      <c r="D55" s="111"/>
      <c r="E55" s="32"/>
      <c r="F55"/>
    </row>
    <row r="56" spans="1:6" s="33" customFormat="1" ht="15.75">
      <c r="A56" s="158"/>
      <c r="B56" s="348"/>
      <c r="C56" s="111"/>
      <c r="D56" s="111"/>
      <c r="E56" s="32"/>
      <c r="F56"/>
    </row>
    <row r="57" spans="1:6" s="33" customFormat="1" ht="15.75">
      <c r="A57" s="158"/>
      <c r="B57" s="348"/>
      <c r="C57" s="111"/>
      <c r="D57" s="111"/>
      <c r="E57" s="32"/>
      <c r="F57"/>
    </row>
    <row r="58" spans="1:6" s="33" customFormat="1" ht="15.75">
      <c r="A58" s="158"/>
      <c r="B58" s="348"/>
      <c r="C58" s="111"/>
      <c r="D58" s="111"/>
      <c r="E58" s="32"/>
      <c r="F58"/>
    </row>
    <row r="59" spans="1:6" s="33" customFormat="1" ht="15.75">
      <c r="A59" s="158"/>
      <c r="B59" s="348"/>
      <c r="C59" s="111"/>
      <c r="D59" s="111"/>
      <c r="E59" s="32"/>
      <c r="F59"/>
    </row>
    <row r="60" spans="1:6" s="33" customFormat="1" ht="15.75">
      <c r="A60" s="158"/>
      <c r="B60" s="348"/>
      <c r="C60" s="111"/>
      <c r="D60" s="111"/>
      <c r="E60" s="32"/>
      <c r="F60"/>
    </row>
    <row r="61" spans="1:6" s="33" customFormat="1" ht="15.75">
      <c r="A61" s="158"/>
      <c r="B61" s="348"/>
      <c r="C61" s="111"/>
      <c r="D61" s="111"/>
      <c r="E61" s="32"/>
      <c r="F61"/>
    </row>
    <row r="62" spans="1:6" s="33" customFormat="1" ht="15.75">
      <c r="A62" s="158"/>
      <c r="B62" s="348"/>
      <c r="C62" s="111"/>
      <c r="D62" s="111"/>
      <c r="E62" s="32"/>
      <c r="F62"/>
    </row>
    <row r="63" spans="1:6" s="33" customFormat="1" ht="15.75">
      <c r="A63" s="158"/>
      <c r="B63" s="348"/>
      <c r="C63" s="111"/>
      <c r="D63" s="111"/>
      <c r="E63" s="32"/>
      <c r="F63"/>
    </row>
    <row r="64" spans="1:6" s="33" customFormat="1" ht="15.75">
      <c r="A64" s="158"/>
      <c r="B64" s="348"/>
      <c r="C64" s="111"/>
      <c r="D64" s="111"/>
      <c r="E64" s="32"/>
      <c r="F64"/>
    </row>
    <row r="65" spans="1:6" s="33" customFormat="1" ht="15.75">
      <c r="A65" s="158"/>
      <c r="B65" s="348"/>
      <c r="C65" s="111"/>
      <c r="D65" s="111"/>
      <c r="E65" s="32"/>
      <c r="F65"/>
    </row>
    <row r="66" spans="1:6" s="33" customFormat="1" ht="15.75">
      <c r="A66" s="158"/>
      <c r="B66" s="348"/>
      <c r="C66" s="111"/>
      <c r="D66" s="111"/>
      <c r="E66" s="32"/>
      <c r="F66"/>
    </row>
    <row r="67" spans="1:6" s="33" customFormat="1" ht="15.75">
      <c r="A67" s="158"/>
      <c r="B67" s="348"/>
      <c r="C67" s="111"/>
      <c r="D67" s="111"/>
      <c r="E67" s="32"/>
      <c r="F67"/>
    </row>
    <row r="68" spans="1:6" s="33" customFormat="1" ht="15.75">
      <c r="A68" s="158"/>
      <c r="B68" s="348"/>
      <c r="C68" s="111"/>
      <c r="D68" s="111"/>
      <c r="E68" s="32"/>
      <c r="F68"/>
    </row>
    <row r="69" spans="1:6" s="33" customFormat="1" ht="15.75">
      <c r="A69" s="158"/>
      <c r="B69" s="348"/>
      <c r="C69" s="111"/>
      <c r="D69" s="111"/>
      <c r="E69" s="32"/>
      <c r="F69"/>
    </row>
    <row r="70" spans="1:6" s="33" customFormat="1" ht="15.75">
      <c r="A70" s="158"/>
      <c r="B70" s="348"/>
      <c r="C70" s="111"/>
      <c r="D70" s="111"/>
      <c r="E70" s="32"/>
      <c r="F70"/>
    </row>
    <row r="71" spans="1:6" s="33" customFormat="1" ht="15.75">
      <c r="A71" s="158"/>
      <c r="B71" s="348"/>
      <c r="C71" s="111"/>
      <c r="D71" s="111"/>
      <c r="E71" s="32"/>
      <c r="F71"/>
    </row>
    <row r="72" spans="1:6" s="33" customFormat="1" ht="15.75">
      <c r="A72" s="158"/>
      <c r="B72" s="348"/>
      <c r="C72" s="111"/>
      <c r="D72" s="111"/>
      <c r="E72" s="32"/>
      <c r="F72"/>
    </row>
    <row r="73" spans="1:6" s="33" customFormat="1" ht="15.75">
      <c r="A73" s="158"/>
      <c r="B73" s="348"/>
      <c r="C73" s="111"/>
      <c r="D73" s="111"/>
      <c r="E73" s="32"/>
      <c r="F73"/>
    </row>
    <row r="74" spans="1:6" s="33" customFormat="1" ht="15.75">
      <c r="A74" s="158"/>
      <c r="B74" s="348"/>
      <c r="C74" s="111"/>
      <c r="D74" s="111"/>
      <c r="E74" s="32"/>
      <c r="F74"/>
    </row>
    <row r="75" spans="1:6" s="33" customFormat="1" ht="15.75">
      <c r="A75" s="158"/>
      <c r="B75" s="348"/>
      <c r="C75" s="111"/>
      <c r="D75" s="111"/>
      <c r="E75" s="32"/>
      <c r="F75"/>
    </row>
    <row r="76" spans="1:6" s="33" customFormat="1" ht="15.75">
      <c r="A76" s="158"/>
      <c r="B76" s="348"/>
      <c r="C76" s="111"/>
      <c r="D76" s="111"/>
      <c r="E76" s="32"/>
      <c r="F76"/>
    </row>
    <row r="77" spans="1:6" s="33" customFormat="1" ht="15.75">
      <c r="A77" s="158"/>
      <c r="B77" s="348"/>
      <c r="C77" s="111"/>
      <c r="D77" s="111"/>
      <c r="E77" s="32"/>
      <c r="F77"/>
    </row>
    <row r="78" spans="1:6" s="33" customFormat="1" ht="15.75">
      <c r="A78" s="158"/>
      <c r="B78" s="348"/>
      <c r="C78" s="111"/>
      <c r="D78" s="111"/>
      <c r="E78" s="32"/>
      <c r="F78"/>
    </row>
    <row r="79" spans="1:6" s="33" customFormat="1" ht="15.75">
      <c r="A79" s="158"/>
      <c r="B79" s="348"/>
      <c r="C79" s="111"/>
      <c r="D79" s="111"/>
      <c r="E79" s="32"/>
      <c r="F79"/>
    </row>
    <row r="80" spans="1:6" s="33" customFormat="1" ht="15.75">
      <c r="A80" s="158"/>
      <c r="B80" s="348"/>
      <c r="C80" s="111"/>
      <c r="D80" s="111"/>
      <c r="E80" s="32"/>
      <c r="F80"/>
    </row>
    <row r="81" spans="1:6" s="33" customFormat="1" ht="15.75">
      <c r="A81" s="158"/>
      <c r="B81" s="348"/>
      <c r="C81" s="111"/>
      <c r="D81" s="111"/>
      <c r="E81" s="32"/>
      <c r="F81"/>
    </row>
    <row r="82" spans="1:6" s="33" customFormat="1" ht="15.75">
      <c r="A82" s="158"/>
      <c r="B82" s="348"/>
      <c r="C82" s="111"/>
      <c r="D82" s="111"/>
      <c r="E82" s="32"/>
      <c r="F82"/>
    </row>
    <row r="83" spans="1:6" s="33" customFormat="1" ht="15.75">
      <c r="A83" s="158"/>
      <c r="B83" s="348"/>
      <c r="C83" s="111"/>
      <c r="D83" s="111"/>
      <c r="E83" s="32"/>
      <c r="F83"/>
    </row>
    <row r="84" spans="1:6" s="33" customFormat="1" ht="15.75">
      <c r="A84" s="158"/>
      <c r="B84" s="348"/>
      <c r="C84" s="111"/>
      <c r="D84" s="111"/>
      <c r="E84" s="32"/>
      <c r="F84"/>
    </row>
    <row r="85" spans="1:6" s="33" customFormat="1" ht="15.75">
      <c r="A85" s="158"/>
      <c r="B85" s="348"/>
      <c r="C85" s="111"/>
      <c r="D85" s="111"/>
      <c r="E85" s="32"/>
      <c r="F85"/>
    </row>
    <row r="86" spans="1:6" s="33" customFormat="1" ht="15.75">
      <c r="A86" s="158"/>
      <c r="B86" s="348"/>
      <c r="C86" s="111"/>
      <c r="D86" s="111"/>
      <c r="E86" s="32"/>
      <c r="F86"/>
    </row>
    <row r="87" spans="1:6" s="33" customFormat="1" ht="15.75">
      <c r="A87" s="158"/>
      <c r="B87" s="348"/>
      <c r="C87" s="111"/>
      <c r="D87" s="111"/>
      <c r="E87" s="32"/>
      <c r="F87"/>
    </row>
    <row r="88" spans="1:6" s="33" customFormat="1" ht="15.75">
      <c r="A88" s="158"/>
      <c r="B88" s="348"/>
      <c r="C88" s="111"/>
      <c r="D88" s="111"/>
      <c r="E88" s="32"/>
      <c r="F88"/>
    </row>
    <row r="89" spans="1:6" s="33" customFormat="1" ht="15.75">
      <c r="A89" s="158"/>
      <c r="B89" s="348"/>
      <c r="C89" s="111"/>
      <c r="D89" s="111"/>
      <c r="E89" s="32"/>
      <c r="F89"/>
    </row>
    <row r="90" spans="1:6" s="33" customFormat="1" ht="15.75">
      <c r="A90" s="158"/>
      <c r="B90" s="348"/>
      <c r="C90" s="111"/>
      <c r="D90" s="111"/>
      <c r="E90" s="32"/>
      <c r="F90"/>
    </row>
    <row r="91" spans="1:6" s="33" customFormat="1" ht="15.75">
      <c r="A91" s="158"/>
      <c r="B91" s="348"/>
      <c r="C91" s="111"/>
      <c r="D91" s="111"/>
      <c r="E91" s="32"/>
      <c r="F91"/>
    </row>
    <row r="92" spans="1:6" s="33" customFormat="1" ht="15.75">
      <c r="A92" s="158"/>
      <c r="B92" s="348"/>
      <c r="C92" s="111"/>
      <c r="D92" s="111"/>
      <c r="E92" s="32"/>
      <c r="F92"/>
    </row>
    <row r="93" spans="1:6" s="33" customFormat="1" ht="15.75">
      <c r="A93" s="158"/>
      <c r="B93" s="348"/>
      <c r="C93" s="111"/>
      <c r="D93" s="111"/>
      <c r="E93" s="32"/>
      <c r="F93"/>
    </row>
    <row r="94" spans="1:6" s="33" customFormat="1" ht="15.75">
      <c r="A94" s="158"/>
      <c r="B94" s="348"/>
      <c r="C94" s="111"/>
      <c r="D94" s="111"/>
      <c r="E94" s="32"/>
      <c r="F94"/>
    </row>
    <row r="95" spans="1:6" s="33" customFormat="1" ht="15.75">
      <c r="A95" s="158"/>
      <c r="B95" s="348"/>
      <c r="C95" s="111"/>
      <c r="D95" s="111"/>
      <c r="E95" s="32"/>
      <c r="F95"/>
    </row>
    <row r="96" spans="1:6" s="33" customFormat="1" ht="15.75">
      <c r="A96" s="158"/>
      <c r="B96" s="348"/>
      <c r="C96" s="111"/>
      <c r="D96" s="111"/>
      <c r="E96" s="32"/>
      <c r="F96"/>
    </row>
    <row r="97" spans="1:6" s="33" customFormat="1" ht="15.75">
      <c r="A97" s="158"/>
      <c r="B97" s="348"/>
      <c r="C97" s="111"/>
      <c r="D97" s="111"/>
      <c r="E97" s="32"/>
      <c r="F97"/>
    </row>
    <row r="98" spans="1:6" s="33" customFormat="1" ht="15.75">
      <c r="A98" s="158"/>
      <c r="B98" s="3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73" t="str">
        <f ca="1">OFFSET(L!$C$1,MATCH("General"&amp;"Cpy",L!$A:$A,0)-1,SL,,)</f>
        <v>© 2020 Responsible Minerals Initiative。保留所有权利。</v>
      </c>
      <c r="C1001" s="473"/>
      <c r="D1001" s="473"/>
      <c r="E1001" s="31"/>
    </row>
    <row r="1002" spans="1:6" ht="13.5"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97"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74"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v>
      </c>
      <c r="B1" s="474"/>
      <c r="C1" s="474"/>
      <c r="D1" s="474"/>
      <c r="E1" s="474"/>
      <c r="F1" s="474"/>
      <c r="G1" s="474"/>
    </row>
    <row r="2" spans="1:16">
      <c r="A2" s="475"/>
      <c r="B2" s="475"/>
      <c r="C2" s="475"/>
      <c r="D2" s="475"/>
      <c r="E2" s="475"/>
      <c r="F2" s="475"/>
      <c r="G2" s="475"/>
      <c r="H2" s="475"/>
      <c r="I2" s="475"/>
    </row>
    <row r="3" spans="1:16">
      <c r="A3" s="475"/>
      <c r="B3" s="475"/>
      <c r="C3" s="475"/>
      <c r="D3" s="475"/>
      <c r="E3" s="475"/>
      <c r="F3" s="475"/>
      <c r="G3" s="475"/>
      <c r="H3" s="475"/>
      <c r="I3" s="475"/>
    </row>
    <row r="4" spans="1:16" s="230" customFormat="1" ht="25.5">
      <c r="A4" s="229" t="str">
        <f ca="1">OFFSET(L!$C$1,MATCH("Smelter Look-up"&amp;ADDRESS(ROW(),COLUMN(),4),L!$A:$A,0)-1,SL,,)</f>
        <v>金属</v>
      </c>
      <c r="B4" s="229" t="str">
        <f ca="1">OFFSET(L!$C$1,MATCH("Smelter Look-up"&amp;ADDRESS(ROW(),COLUMN(),4),L!$A:$A,0)-1,SL,,)</f>
        <v>冶炼厂查找 (*)</v>
      </c>
      <c r="C4" s="229" t="str">
        <f ca="1">OFFSET(L!$C$1,MATCH("Smelter Look-up"&amp;ADDRESS(ROW(),COLUMN(),4),L!$A:$A,0)-1,SL,,)</f>
        <v>标准冶炼厂名称</v>
      </c>
      <c r="D4" s="229" t="str">
        <f ca="1">OFFSET(L!$C$1,MATCH("Smelter Look-up"&amp;ADDRESS(ROW(),COLUMN(),4),L!$A:$A,0)-1,SL,,)</f>
        <v>冶炼厂地址：国家或地区</v>
      </c>
      <c r="E4" s="229" t="str">
        <f ca="1">OFFSET(L!$C$1,MATCH("Smelter Look-up"&amp;ADDRESS(ROW(),COLUMN(),4),L!$A:$A,0)-1,SL,,)</f>
        <v>冶炼厂 ID</v>
      </c>
      <c r="F4" s="229" t="str">
        <f ca="1">OFFSET(L!$C$1,MATCH("Smelter Look-up"&amp;ADDRESS(ROW(),COLUMN(),4),L!$A:$A,0)-1,SL,,)</f>
        <v>冶炼厂出处识别号</v>
      </c>
      <c r="G4" s="229" t="str">
        <f ca="1">OFFSET(L!$C$1,MATCH("Smelter Look-up"&amp;ADDRESS(ROW(),COLUMN(),4),L!$A:$A,0)-1,SL,,)</f>
        <v>冶炼厂所在街道</v>
      </c>
      <c r="H4" s="229" t="str">
        <f ca="1">OFFSET(L!$C$1,MATCH("Smelter Look-up"&amp;ADDRESS(ROW(),COLUMN(),4),L!$A:$A,0)-1,SL,,)</f>
        <v>冶炼厂所在城市</v>
      </c>
      <c r="I4" s="229" t="str">
        <f ca="1">OFFSET(L!$C$1,MATCH("Smelter Look-up"&amp;ADDRESS(ROW(),COLUMN(),4),L!$A:$A,0)-1,SL,,)</f>
        <v>冶炼厂地址：州/省</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7" type="noConversion"/>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84.75">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5">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30">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28.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14.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16.7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48.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399">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3">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40">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05">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94.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75.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70.5">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1.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42.75">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28.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42">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71">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56.75">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27.75">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78.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42.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71">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42.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14">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28.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42">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56.75">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28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70.7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199.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54">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40.5">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0">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28.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28.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28.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28.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42.75">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28.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57">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42.75">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42.75">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42.75">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8.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71.2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7"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admin</cp:lastModifiedBy>
  <cp:lastPrinted>2015-04-21T20:47:43Z</cp:lastPrinted>
  <dcterms:created xsi:type="dcterms:W3CDTF">2010-06-21T21:00:23Z</dcterms:created>
  <dcterms:modified xsi:type="dcterms:W3CDTF">2021-01-28T02:50:54Z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